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9FF12351-6A71-4C42-897F-527CA636135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HorarioSecundaria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" l="1"/>
  <c r="E101" i="1"/>
  <c r="C103" i="1"/>
  <c r="C105" i="1" s="1"/>
  <c r="D103" i="1"/>
  <c r="D102" i="1" s="1"/>
  <c r="C106" i="1"/>
  <c r="R106" i="1"/>
  <c r="R107" i="1"/>
  <c r="R108" i="1"/>
  <c r="R109" i="1"/>
  <c r="R110" i="1"/>
  <c r="R111" i="1"/>
  <c r="R112" i="1"/>
  <c r="R113" i="1"/>
  <c r="R114" i="1"/>
  <c r="C44" i="1"/>
  <c r="E102" i="1" l="1"/>
  <c r="E106" i="1" s="1"/>
  <c r="C109" i="1" s="1"/>
  <c r="D106" i="1"/>
  <c r="E103" i="1"/>
  <c r="C72" i="1"/>
  <c r="B72" i="1"/>
  <c r="C69" i="1"/>
  <c r="B54" i="1"/>
  <c r="B69" i="1"/>
  <c r="C71" i="1" l="1"/>
  <c r="B71" i="1"/>
  <c r="C70" i="1"/>
  <c r="B70" i="1"/>
  <c r="C54" i="1"/>
  <c r="C53" i="1"/>
  <c r="B53" i="1"/>
  <c r="C73" i="1" l="1"/>
  <c r="B73" i="1"/>
  <c r="B59" i="1"/>
  <c r="C59" i="1"/>
  <c r="C33" i="1"/>
  <c r="C31" i="1"/>
  <c r="B52" i="1"/>
  <c r="C52" i="1" s="1"/>
  <c r="B51" i="1"/>
  <c r="C51" i="1" s="1"/>
  <c r="B50" i="1"/>
  <c r="C50" i="1" s="1"/>
  <c r="B49" i="1"/>
  <c r="C49" i="1" s="1"/>
  <c r="B48" i="1"/>
  <c r="C48" i="1" s="1"/>
  <c r="B47" i="1"/>
  <c r="C47" i="1" s="1"/>
  <c r="C37" i="1" l="1"/>
  <c r="B17" i="1"/>
  <c r="B16" i="1"/>
  <c r="B15" i="1"/>
  <c r="B14" i="1"/>
  <c r="B13" i="1"/>
  <c r="B12" i="1"/>
  <c r="C61" i="1"/>
  <c r="C39" i="1" s="1"/>
  <c r="B29" i="1"/>
  <c r="B68" i="1"/>
  <c r="C55" i="1"/>
  <c r="B55" i="1"/>
  <c r="B46" i="1"/>
  <c r="B45" i="1"/>
  <c r="B44" i="1"/>
  <c r="B10" i="1"/>
  <c r="B67" i="1"/>
  <c r="B58" i="1"/>
  <c r="C45" i="1"/>
  <c r="C58" i="1"/>
  <c r="C67" i="1"/>
  <c r="C46" i="1" l="1"/>
  <c r="C30" i="1" s="1"/>
  <c r="C68" i="1"/>
  <c r="C43" i="1" l="1"/>
  <c r="C29" i="1" s="1"/>
  <c r="C60" i="1" l="1"/>
  <c r="C32" i="1"/>
  <c r="C36" i="1" s="1"/>
  <c r="C62" i="1"/>
  <c r="C38" i="1" l="1"/>
  <c r="C65" i="1" s="1"/>
  <c r="C74" i="1" s="1"/>
  <c r="C95" i="1" l="1"/>
  <c r="C40" i="1"/>
</calcChain>
</file>

<file path=xl/sharedStrings.xml><?xml version="1.0" encoding="utf-8"?>
<sst xmlns="http://schemas.openxmlformats.org/spreadsheetml/2006/main" count="176" uniqueCount="131">
  <si>
    <t>Tutor Bachillerato</t>
  </si>
  <si>
    <t>Comparte centro</t>
  </si>
  <si>
    <t>Jefe Departamento</t>
  </si>
  <si>
    <t>Horario Lectivo</t>
  </si>
  <si>
    <t>Reunión de Departamento</t>
  </si>
  <si>
    <t>TOTAL LECTIVAS</t>
  </si>
  <si>
    <t>Tutor ESO</t>
  </si>
  <si>
    <t>Descuentos lectivas</t>
  </si>
  <si>
    <t>SÍ</t>
  </si>
  <si>
    <t>NO</t>
  </si>
  <si>
    <t>Profesor de ámbito en Departamento Orientación</t>
  </si>
  <si>
    <t>Actividaddes, Funciones  o Situaciones</t>
  </si>
  <si>
    <t>Tutor</t>
  </si>
  <si>
    <t>Edad. Horas lectivas que se transforman en complementarias.</t>
  </si>
  <si>
    <t>Cumple 59 o 60 años durante el curso</t>
  </si>
  <si>
    <t>Tiene más 60 años</t>
  </si>
  <si>
    <t>Actividades complementarias</t>
  </si>
  <si>
    <t>Horas Complementarias</t>
  </si>
  <si>
    <t>Elegir la opción del menú desplegable</t>
  </si>
  <si>
    <t>Introducir: número de horas de departamento</t>
  </si>
  <si>
    <t>Horas lectivas de los miembros Departamento</t>
  </si>
  <si>
    <t>Encargado Comedor</t>
  </si>
  <si>
    <t>Gestión Directa</t>
  </si>
  <si>
    <t>Gestión Contratada</t>
  </si>
  <si>
    <t>Actividades o Funciones Lectivas</t>
  </si>
  <si>
    <t>Tutor FPB</t>
  </si>
  <si>
    <t>Profesorado que desarrolla el programa Tránsito</t>
  </si>
  <si>
    <t>Coordinar las acciones para el fomento del Patrimonio social, cultural e histórico canario</t>
  </si>
  <si>
    <t>Acciones para el desarrollo del Plan de comunicación lingüística</t>
  </si>
  <si>
    <t>Acciones para el fomento de la igualdad de oportunidades</t>
  </si>
  <si>
    <t>Lectivas</t>
  </si>
  <si>
    <t>Agentes zonales de igualdad</t>
  </si>
  <si>
    <t>Coordinador/a de cada red de centro aprobada por la CEU. 1 red</t>
  </si>
  <si>
    <t>Coordinador/a de cada red de centro aprobada por la CEU. 2 red</t>
  </si>
  <si>
    <t>Coordinador/a de cada red de centro aprobada por la CEU. 3 o más red</t>
  </si>
  <si>
    <t>Coordinación del Fondo Social Europeo.De 1 a 8 grupos</t>
  </si>
  <si>
    <t>Coordinación del Fondo Social Europeo.De 9 a 16 grupos</t>
  </si>
  <si>
    <t>Coordinación del Fondo Social Europeo.De 17 a 24 grupos</t>
  </si>
  <si>
    <t>Coordinación del Fondo Social Europeo.Más de 24 grupos</t>
  </si>
  <si>
    <t>Coordinación y profesorado del Programa CLIL-AICLE</t>
  </si>
  <si>
    <t>Acciones para el fomento de las TIC. Centro tipo 4</t>
  </si>
  <si>
    <t>Acciones para el fomento de las TIC. Centro tipo 2 y 3</t>
  </si>
  <si>
    <t>Acciones para el fomento de las TIC. Centro tipo 1</t>
  </si>
  <si>
    <t>Coordinación prevención de riesgos laborales. Centro tipo 4</t>
  </si>
  <si>
    <t>Coordinación prevención de riesgos laborales. Centro tipo 2 y 3</t>
  </si>
  <si>
    <t>Coordinación prevención de riesgos laborales. Centro tipo 1</t>
  </si>
  <si>
    <t>Responsable del programa y del servicio de mediación. Centro tipo 4</t>
  </si>
  <si>
    <t>Responsable del programa y del servicio de mediación. Centro tipo 2 y 3</t>
  </si>
  <si>
    <t>Responsable del programa y del servicio de mediación. Centro tipo 1</t>
  </si>
  <si>
    <t>Coordinación programas europeos. Hasta 10 movilidades</t>
  </si>
  <si>
    <t>Coordinación programas europeos. Más de 10 movilidades</t>
  </si>
  <si>
    <t>Coordinación programas europeos: Movilidades en prácticas. Hasta 13 movilidades</t>
  </si>
  <si>
    <t>Coordinación programas europeos: Movilidades en prácticas. De 13 a 23 movilidades</t>
  </si>
  <si>
    <t>Coordinación programas europeos: Movilidades en prácticas. Más de 23 movilidades</t>
  </si>
  <si>
    <t>Miembro Comisión Permanente del Consejo Escolar de Canarias</t>
  </si>
  <si>
    <t>Complementarias</t>
  </si>
  <si>
    <t>Reunión de equipos de nivel</t>
  </si>
  <si>
    <t>Horas que sobrepasan las 20 lectivas</t>
  </si>
  <si>
    <t>Miembro del Consejo escolar del centro</t>
  </si>
  <si>
    <t>Edad</t>
  </si>
  <si>
    <t>Número máximo de lectivas para impartición de las áreas o materias</t>
  </si>
  <si>
    <t>Número de sesiones de consideración de lectiva</t>
  </si>
  <si>
    <t>Descuento de complemantarias por Compensación por más de 20 lectivas</t>
  </si>
  <si>
    <t>Descuentos de lectivas por más de 59 años</t>
  </si>
  <si>
    <t>Descuentos de lectivas por compartir centro</t>
  </si>
  <si>
    <t>HORARIO LECTIVO SEMANAL DE PERIODICIDAD FIJA</t>
  </si>
  <si>
    <t>HORARIO COMPLEMENTARIO SEMANAL DE PERIODICIDAD FIJA</t>
  </si>
  <si>
    <t>Aumento de complemantarias por descuento de mayor de 59 años</t>
  </si>
  <si>
    <t>Número de complementarias</t>
  </si>
  <si>
    <t>TOTAL REAL DE LECTIVAS O DE CONSIDERACIÓN DE LECTIVAS</t>
  </si>
  <si>
    <t>TOTAL REAL DE COMPLEMENTARIAS</t>
  </si>
  <si>
    <t>TOTAL SEMANAL DE PERIODICIDAD FIJA A COMPUTAR</t>
  </si>
  <si>
    <t>RESUMEN DEL CUADRO DEL HORARIO</t>
  </si>
  <si>
    <t>Coordinación del Fondo Social Europeo</t>
  </si>
  <si>
    <t>Programa CLIL-AICLE</t>
  </si>
  <si>
    <t>Profesorado del programa Tránsito</t>
  </si>
  <si>
    <t>Miembros del equipo de gestión de la convivencia</t>
  </si>
  <si>
    <t>Referente del protocolo de acoso</t>
  </si>
  <si>
    <t>Coordinación de los proyectos de Convivencia Positiva</t>
  </si>
  <si>
    <t>Acciones para la prevención de riesgos laborales</t>
  </si>
  <si>
    <t>Acciones para el fomento de las TIC</t>
  </si>
  <si>
    <t>Programas europeos</t>
  </si>
  <si>
    <t>Coordinación de proyectos educativos o de participación, propios.</t>
  </si>
  <si>
    <t>Coordinación interna de las redes
de un centro</t>
  </si>
  <si>
    <t>Coordinación de proyectos aprobados de los centros participantes en las redes</t>
  </si>
  <si>
    <t>Guardias</t>
  </si>
  <si>
    <t>Horas complementarias para repartirse entre las funciones de siguientes filas</t>
  </si>
  <si>
    <t>Transito, Patrimonio, Red</t>
  </si>
  <si>
    <t>AICLE, Fondo social Europeo</t>
  </si>
  <si>
    <t>Comunicación lingüística, Igualdad opotunidades, TIC</t>
  </si>
  <si>
    <t>Mediación</t>
  </si>
  <si>
    <t>Riesgos laborales, Agentes zonales, CEC</t>
  </si>
  <si>
    <t>Sólo dan 1 hora</t>
  </si>
  <si>
    <t>Horas complementarias en curso 2016-2017</t>
  </si>
  <si>
    <t>Condicionado a la existencia de disponibilidad</t>
  </si>
  <si>
    <t>Sin asignación previa de horas. El proyecto de Gestión del centro determinará las horas para cada función o actividad</t>
  </si>
  <si>
    <t>Tutor FP 1º curso</t>
  </si>
  <si>
    <t>Tutor FP 2º curso FCT. Hasta 13 alumnos. De 1 a 12 empresas</t>
  </si>
  <si>
    <t>Tutor FP 2º curso FCT. Hasta 13 alumnos. De 13 a 27 empresas</t>
  </si>
  <si>
    <t>Tutor FP 2º curso FCT. Hasta 13 alumnos. Más de 28 empresas</t>
  </si>
  <si>
    <t>Tutor FP 2º curso FCT. De 14 a 23 alumnos. De 1 a 12 empresas</t>
  </si>
  <si>
    <t>Tutor FP 2º curso FCT. De 14 a 23 alumnos. De 13 a 27 empresas</t>
  </si>
  <si>
    <t>Tutor FP 2º curso FCT. De 14 a 23 alumnos. Más de 28 empresas</t>
  </si>
  <si>
    <t>Tutor FP 2º curso FCT. Más de 23 alumnos. De 1 a 12 empresas</t>
  </si>
  <si>
    <t>Tutor FP 2º curso FCT. Más de 23 alumnos. De 13 a 27 empresas</t>
  </si>
  <si>
    <t>Tutor FP 2º curso FCT. Más de 23 alumnos. Más de 28 empresas</t>
  </si>
  <si>
    <t>Coordinador FP dual de 1º curso</t>
  </si>
  <si>
    <t>Coordinación de FCT en FP</t>
  </si>
  <si>
    <t xml:space="preserve">Coordinación de equipo docente de FP, FP Básica o FP dual </t>
  </si>
  <si>
    <t>Gestión de talleres FP - Coordinación FP dual</t>
  </si>
  <si>
    <t>De 2 a 4 sesiones</t>
  </si>
  <si>
    <t>Hasta 5 sesiones durante el periodo necesario</t>
  </si>
  <si>
    <t>Horas semanales lectivas y de consideración lectiva</t>
  </si>
  <si>
    <t>Horario de permanencia</t>
  </si>
  <si>
    <t>1º trimestre</t>
  </si>
  <si>
    <t>2º trimestre</t>
  </si>
  <si>
    <t>3º trimestre</t>
  </si>
  <si>
    <t>Computo anual. Horario semanal medio</t>
  </si>
  <si>
    <t xml:space="preserve">Horas lectivas en 1º y 2º trimestre por encima de las del computo anual </t>
  </si>
  <si>
    <t>HORARIO QUE DEBERÍA CORRESPONDER EN EL 3º TRIMESTRE</t>
  </si>
  <si>
    <t>HORARIO PONDERADO FORMACIÓN PROFESIONAL</t>
  </si>
  <si>
    <t>Se debe compensar esas  lectivas con complementarias. Art 36 Orden 9 oct 17</t>
  </si>
  <si>
    <t>SALDO DE HORAS COMPLEMENTARIAS PARA lo que está debajo:</t>
  </si>
  <si>
    <t>Elaborado por DOCENTES DE CANARIAS-INSUCAN</t>
  </si>
  <si>
    <t>Horario de docente de ESO, Bachillerato, Formación Profesional</t>
  </si>
  <si>
    <t>Coordinador de la familia profesional</t>
  </si>
  <si>
    <t>Existe coordinador de la FCT (a efectos de horas de FCT en tutor)</t>
  </si>
  <si>
    <t>Coordinador de la FCT</t>
  </si>
  <si>
    <t>Horas lectivas que sobrepasan las 18 lectivas</t>
  </si>
  <si>
    <t>Compensación de complementaria por tener más de 18 lectivas</t>
  </si>
  <si>
    <t>Introducir: Número de horas que sobrepasa las 18 lectivas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</si>
</sst>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6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9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1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2" fillId="7" borderId="1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protection hidden="1"/>
    </xf>
    <xf numFmtId="0" fontId="7" fillId="7" borderId="1" xfId="0" applyFont="1" applyFill="1" applyBorder="1" applyAlignment="1" applyProtection="1">
      <alignment horizontal="left" vertical="center"/>
      <protection hidden="1"/>
    </xf>
    <xf numFmtId="0" fontId="7" fillId="7" borderId="1" xfId="0" applyFont="1" applyFill="1" applyBorder="1" applyProtection="1"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6" fillId="8" borderId="1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7" borderId="6" xfId="0" applyFont="1" applyFill="1" applyBorder="1" applyAlignment="1" applyProtection="1">
      <alignment horizontal="center" vertical="center"/>
      <protection hidden="1"/>
    </xf>
    <xf numFmtId="0" fontId="6" fillId="7" borderId="8" xfId="0" applyFont="1" applyFill="1" applyBorder="1" applyAlignment="1" applyProtection="1">
      <alignment horizontal="center" vertical="center"/>
      <protection hidden="1"/>
    </xf>
    <xf numFmtId="0" fontId="7" fillId="8" borderId="3" xfId="0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left"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2" fillId="0" borderId="10" xfId="0" applyFont="1" applyBorder="1" applyProtection="1"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7" borderId="6" xfId="0" applyFont="1" applyFill="1" applyBorder="1" applyAlignment="1" applyProtection="1">
      <alignment horizontal="center"/>
      <protection hidden="1"/>
    </xf>
    <xf numFmtId="0" fontId="5" fillId="7" borderId="12" xfId="0" applyFont="1" applyFill="1" applyBorder="1" applyAlignment="1" applyProtection="1">
      <alignment horizontal="center"/>
      <protection hidden="1"/>
    </xf>
    <xf numFmtId="0" fontId="6" fillId="9" borderId="5" xfId="0" applyFont="1" applyFill="1" applyBorder="1" applyAlignment="1" applyProtection="1">
      <alignment horizontal="left" vertical="center"/>
      <protection hidden="1"/>
    </xf>
    <xf numFmtId="0" fontId="6" fillId="9" borderId="7" xfId="0" applyFont="1" applyFill="1" applyBorder="1" applyAlignment="1" applyProtection="1">
      <alignment horizontal="left" vertical="center"/>
      <protection hidden="1"/>
    </xf>
    <xf numFmtId="0" fontId="5" fillId="7" borderId="2" xfId="0" applyFont="1" applyFill="1" applyBorder="1" applyAlignment="1" applyProtection="1">
      <alignment horizontal="center"/>
      <protection hidden="1"/>
    </xf>
    <xf numFmtId="0" fontId="2" fillId="0" borderId="11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6" fillId="9" borderId="6" xfId="0" applyFont="1" applyFill="1" applyBorder="1" applyAlignment="1" applyProtection="1">
      <alignment horizontal="left" vertical="center"/>
      <protection hidden="1"/>
    </xf>
    <xf numFmtId="0" fontId="2" fillId="0" borderId="17" xfId="0" applyFont="1" applyBorder="1" applyProtection="1">
      <protection hidden="1"/>
    </xf>
    <xf numFmtId="0" fontId="2" fillId="11" borderId="1" xfId="0" applyFont="1" applyFill="1" applyBorder="1" applyAlignment="1" applyProtection="1">
      <alignment horizontal="left" vertical="center"/>
      <protection hidden="1"/>
    </xf>
    <xf numFmtId="0" fontId="2" fillId="12" borderId="1" xfId="0" applyFont="1" applyFill="1" applyBorder="1" applyAlignment="1" applyProtection="1">
      <alignment horizontal="left" vertical="center"/>
      <protection hidden="1"/>
    </xf>
    <xf numFmtId="0" fontId="2" fillId="12" borderId="1" xfId="0" applyFont="1" applyFill="1" applyBorder="1" applyAlignment="1" applyProtection="1">
      <alignment horizontal="left" vertical="center" wrapText="1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/>
      <protection hidden="1"/>
    </xf>
    <xf numFmtId="0" fontId="2" fillId="13" borderId="18" xfId="0" applyFont="1" applyFill="1" applyBorder="1" applyAlignment="1" applyProtection="1">
      <alignment horizontal="center" vertical="center"/>
      <protection hidden="1"/>
    </xf>
    <xf numFmtId="0" fontId="6" fillId="14" borderId="1" xfId="0" applyFont="1" applyFill="1" applyBorder="1" applyAlignment="1" applyProtection="1">
      <alignment horizontal="center"/>
      <protection hidden="1"/>
    </xf>
    <xf numFmtId="0" fontId="2" fillId="15" borderId="1" xfId="0" applyFont="1" applyFill="1" applyBorder="1" applyAlignment="1" applyProtection="1">
      <alignment horizontal="center"/>
      <protection hidden="1"/>
    </xf>
    <xf numFmtId="0" fontId="6" fillId="11" borderId="1" xfId="0" applyFont="1" applyFill="1" applyBorder="1" applyAlignment="1" applyProtection="1">
      <alignment horizontal="left" vertical="center"/>
      <protection hidden="1"/>
    </xf>
    <xf numFmtId="0" fontId="4" fillId="8" borderId="6" xfId="0" applyFont="1" applyFill="1" applyBorder="1" applyAlignment="1" applyProtection="1">
      <alignment horizontal="center"/>
      <protection hidden="1"/>
    </xf>
    <xf numFmtId="0" fontId="6" fillId="7" borderId="13" xfId="0" applyFont="1" applyFill="1" applyBorder="1" applyAlignment="1" applyProtection="1">
      <alignment horizontal="center"/>
      <protection hidden="1"/>
    </xf>
    <xf numFmtId="0" fontId="6" fillId="8" borderId="8" xfId="0" applyFont="1" applyFill="1" applyBorder="1" applyAlignment="1" applyProtection="1">
      <alignment horizontal="center"/>
      <protection hidden="1"/>
    </xf>
    <xf numFmtId="0" fontId="4" fillId="7" borderId="9" xfId="0" applyFont="1" applyFill="1" applyBorder="1" applyAlignment="1" applyProtection="1">
      <alignment horizontal="center"/>
      <protection hidden="1"/>
    </xf>
    <xf numFmtId="0" fontId="6" fillId="8" borderId="0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6" fillId="3" borderId="19" xfId="0" applyFont="1" applyFill="1" applyBorder="1" applyAlignment="1" applyProtection="1">
      <alignment horizontal="center" vertical="center" wrapText="1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locked="0"/>
    </xf>
    <xf numFmtId="0" fontId="10" fillId="16" borderId="0" xfId="0" applyFont="1" applyFill="1" applyAlignment="1" applyProtection="1">
      <alignment horizontal="center" vertical="center" wrapText="1"/>
      <protection hidden="1"/>
    </xf>
    <xf numFmtId="0" fontId="7" fillId="3" borderId="23" xfId="0" applyFont="1" applyFill="1" applyBorder="1" applyAlignment="1" applyProtection="1">
      <alignment horizontal="left" vertical="center"/>
      <protection hidden="1"/>
    </xf>
    <xf numFmtId="0" fontId="7" fillId="4" borderId="24" xfId="0" applyFont="1" applyFill="1" applyBorder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hidden="1"/>
    </xf>
    <xf numFmtId="2" fontId="11" fillId="7" borderId="1" xfId="0" applyNumberFormat="1" applyFont="1" applyFill="1" applyBorder="1" applyAlignment="1" applyProtection="1">
      <alignment horizontal="center"/>
      <protection hidden="1"/>
    </xf>
    <xf numFmtId="2" fontId="3" fillId="7" borderId="1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6" fillId="14" borderId="6" xfId="0" applyFont="1" applyFill="1" applyBorder="1" applyAlignment="1" applyProtection="1">
      <alignment horizontal="center"/>
      <protection hidden="1"/>
    </xf>
    <xf numFmtId="0" fontId="11" fillId="0" borderId="5" xfId="0" applyFont="1" applyBorder="1" applyProtection="1">
      <protection hidden="1"/>
    </xf>
    <xf numFmtId="0" fontId="2" fillId="7" borderId="6" xfId="0" applyFont="1" applyFill="1" applyBorder="1" applyAlignment="1" applyProtection="1">
      <alignment horizontal="center"/>
      <protection hidden="1"/>
    </xf>
    <xf numFmtId="2" fontId="5" fillId="7" borderId="6" xfId="0" applyNumberFormat="1" applyFont="1" applyFill="1" applyBorder="1" applyAlignment="1" applyProtection="1">
      <alignment horizontal="center"/>
      <protection hidden="1"/>
    </xf>
    <xf numFmtId="2" fontId="2" fillId="7" borderId="6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4" fillId="13" borderId="7" xfId="0" applyFont="1" applyFill="1" applyBorder="1" applyProtection="1">
      <protection hidden="1"/>
    </xf>
    <xf numFmtId="0" fontId="4" fillId="13" borderId="26" xfId="0" applyFont="1" applyFill="1" applyBorder="1" applyAlignment="1" applyProtection="1">
      <alignment horizontal="center"/>
      <protection hidden="1"/>
    </xf>
    <xf numFmtId="2" fontId="4" fillId="13" borderId="26" xfId="0" applyNumberFormat="1" applyFont="1" applyFill="1" applyBorder="1" applyAlignment="1" applyProtection="1">
      <alignment horizontal="center"/>
      <protection hidden="1"/>
    </xf>
    <xf numFmtId="2" fontId="4" fillId="13" borderId="8" xfId="0" applyNumberFormat="1" applyFont="1" applyFill="1" applyBorder="1" applyAlignment="1" applyProtection="1">
      <alignment horizontal="center"/>
      <protection hidden="1"/>
    </xf>
    <xf numFmtId="2" fontId="4" fillId="13" borderId="1" xfId="0" applyNumberFormat="1" applyFont="1" applyFill="1" applyBorder="1" applyAlignment="1" applyProtection="1">
      <alignment horizontal="center" vertical="center"/>
      <protection hidden="1"/>
    </xf>
    <xf numFmtId="0" fontId="11" fillId="13" borderId="5" xfId="0" applyFont="1" applyFill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protection hidden="1"/>
    </xf>
    <xf numFmtId="0" fontId="12" fillId="0" borderId="18" xfId="0" applyFont="1" applyBorder="1" applyAlignment="1" applyProtection="1">
      <alignment horizontal="center" wrapText="1"/>
      <protection hidden="1"/>
    </xf>
    <xf numFmtId="0" fontId="12" fillId="0" borderId="25" xfId="0" applyFont="1" applyBorder="1" applyAlignment="1" applyProtection="1">
      <alignment horizontal="center" wrapText="1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0" fontId="3" fillId="13" borderId="12" xfId="0" applyFont="1" applyFill="1" applyBorder="1" applyAlignment="1" applyProtection="1">
      <alignment horizontal="center"/>
      <protection hidden="1"/>
    </xf>
    <xf numFmtId="0" fontId="3" fillId="13" borderId="27" xfId="0" applyFont="1" applyFill="1" applyBorder="1" applyAlignment="1" applyProtection="1">
      <alignment horizontal="center"/>
      <protection hidden="1"/>
    </xf>
    <xf numFmtId="0" fontId="3" fillId="13" borderId="17" xfId="0" applyFont="1" applyFill="1" applyBorder="1" applyAlignment="1" applyProtection="1">
      <alignment horizontal="center"/>
      <protection hidden="1"/>
    </xf>
    <xf numFmtId="0" fontId="14" fillId="13" borderId="10" xfId="0" applyFont="1" applyFill="1" applyBorder="1" applyAlignment="1" applyProtection="1">
      <alignment horizontal="center"/>
      <protection hidden="1"/>
    </xf>
    <xf numFmtId="0" fontId="14" fillId="13" borderId="15" xfId="0" applyFont="1" applyFill="1" applyBorder="1" applyAlignment="1" applyProtection="1">
      <alignment horizontal="center"/>
      <protection hidden="1"/>
    </xf>
    <xf numFmtId="0" fontId="14" fillId="13" borderId="16" xfId="0" applyFont="1" applyFill="1" applyBorder="1" applyAlignment="1" applyProtection="1">
      <alignment horizontal="center"/>
      <protection hidden="1"/>
    </xf>
    <xf numFmtId="0" fontId="9" fillId="10" borderId="10" xfId="0" applyFont="1" applyFill="1" applyBorder="1" applyAlignment="1" applyProtection="1">
      <alignment horizontal="center"/>
      <protection hidden="1"/>
    </xf>
    <xf numFmtId="0" fontId="9" fillId="10" borderId="15" xfId="0" applyFont="1" applyFill="1" applyBorder="1" applyAlignment="1" applyProtection="1">
      <alignment horizontal="center"/>
      <protection hidden="1"/>
    </xf>
    <xf numFmtId="0" fontId="9" fillId="10" borderId="16" xfId="0" applyFont="1" applyFill="1" applyBorder="1" applyAlignment="1" applyProtection="1">
      <alignment horizontal="center"/>
      <protection hidden="1"/>
    </xf>
    <xf numFmtId="0" fontId="3" fillId="15" borderId="1" xfId="0" applyFont="1" applyFill="1" applyBorder="1" applyAlignment="1" applyProtection="1">
      <alignment horizontal="center" vertical="center" wrapText="1"/>
      <protection hidden="1"/>
    </xf>
    <xf numFmtId="0" fontId="8" fillId="5" borderId="20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Q151"/>
  <sheetViews>
    <sheetView tabSelected="1" zoomScale="85" workbookViewId="0">
      <selection activeCell="C7" sqref="C7"/>
    </sheetView>
  </sheetViews>
  <sheetFormatPr baseColWidth="10" defaultRowHeight="12.95" customHeight="1" x14ac:dyDescent="0.2"/>
  <cols>
    <col min="1" max="1" width="2.85546875" style="2" customWidth="1"/>
    <col min="2" max="2" width="72" style="2" customWidth="1"/>
    <col min="3" max="3" width="66.5703125" style="3" bestFit="1" customWidth="1"/>
    <col min="4" max="4" width="56.140625" style="2" bestFit="1" customWidth="1"/>
    <col min="5" max="5" width="20.7109375" style="2" customWidth="1"/>
    <col min="6" max="14" width="11.42578125" style="2"/>
    <col min="15" max="16" width="11.42578125" style="2" customWidth="1"/>
    <col min="17" max="17" width="76.28515625" style="2" hidden="1" customWidth="1"/>
    <col min="18" max="18" width="7.7109375" style="2" hidden="1" customWidth="1"/>
    <col min="19" max="19" width="15.42578125" style="2" hidden="1" customWidth="1"/>
    <col min="20" max="20" width="72.42578125" style="2" hidden="1" customWidth="1"/>
    <col min="21" max="21" width="7.7109375" style="2" hidden="1" customWidth="1"/>
    <col min="22" max="22" width="15.42578125" style="2" hidden="1" customWidth="1"/>
    <col min="23" max="23" width="51.42578125" style="2" hidden="1" customWidth="1"/>
    <col min="24" max="24" width="3.7109375" style="2" hidden="1" customWidth="1"/>
    <col min="25" max="25" width="31.28515625" style="2" hidden="1" customWidth="1"/>
    <col min="26" max="26" width="31.5703125" style="2" hidden="1" customWidth="1"/>
    <col min="27" max="28" width="31.5703125" style="2" customWidth="1"/>
    <col min="29" max="29" width="31.28515625" style="2" bestFit="1" customWidth="1"/>
    <col min="30" max="44" width="0" style="2" hidden="1" customWidth="1"/>
    <col min="45" max="45" width="75.5703125" style="2" bestFit="1" customWidth="1"/>
    <col min="46" max="16384" width="11.42578125" style="2"/>
  </cols>
  <sheetData>
    <row r="1" spans="2:4" ht="7.5" customHeight="1" thickBot="1" x14ac:dyDescent="0.25"/>
    <row r="2" spans="2:4" ht="20.25" x14ac:dyDescent="0.3">
      <c r="B2" s="91" t="s">
        <v>124</v>
      </c>
      <c r="C2" s="92"/>
      <c r="D2" s="93"/>
    </row>
    <row r="3" spans="2:4" ht="18" customHeight="1" thickBot="1" x14ac:dyDescent="0.3">
      <c r="B3" s="88" t="s">
        <v>123</v>
      </c>
      <c r="C3" s="89"/>
      <c r="D3" s="90"/>
    </row>
    <row r="4" spans="2:4" ht="7.5" customHeight="1" x14ac:dyDescent="0.25">
      <c r="B4" s="7"/>
      <c r="C4" s="7"/>
      <c r="D4" s="7"/>
    </row>
    <row r="5" spans="2:4" ht="15" customHeight="1" x14ac:dyDescent="0.2">
      <c r="B5" s="13" t="s">
        <v>11</v>
      </c>
    </row>
    <row r="6" spans="2:4" ht="15" customHeight="1" x14ac:dyDescent="0.2">
      <c r="B6" s="11" t="s">
        <v>128</v>
      </c>
      <c r="C6" s="14">
        <v>1</v>
      </c>
      <c r="D6" s="82" t="s">
        <v>130</v>
      </c>
    </row>
    <row r="7" spans="2:4" ht="15" customHeight="1" x14ac:dyDescent="0.2">
      <c r="B7" s="11" t="s">
        <v>20</v>
      </c>
      <c r="C7" s="14">
        <v>54</v>
      </c>
      <c r="D7" s="82" t="s">
        <v>19</v>
      </c>
    </row>
    <row r="8" spans="2:4" ht="15" customHeight="1" x14ac:dyDescent="0.2">
      <c r="B8" s="11" t="s">
        <v>2</v>
      </c>
      <c r="C8" s="14" t="s">
        <v>8</v>
      </c>
      <c r="D8" s="98" t="s">
        <v>18</v>
      </c>
    </row>
    <row r="9" spans="2:4" ht="15" customHeight="1" x14ac:dyDescent="0.2">
      <c r="B9" s="11" t="s">
        <v>10</v>
      </c>
      <c r="C9" s="14" t="s">
        <v>9</v>
      </c>
      <c r="D9" s="99"/>
    </row>
    <row r="10" spans="2:4" ht="15" customHeight="1" x14ac:dyDescent="0.2">
      <c r="B10" s="11" t="str">
        <f>+Q100</f>
        <v>Tutor</v>
      </c>
      <c r="C10" s="14" t="s">
        <v>6</v>
      </c>
      <c r="D10" s="99"/>
    </row>
    <row r="11" spans="2:4" ht="15" customHeight="1" x14ac:dyDescent="0.2">
      <c r="B11" s="11" t="s">
        <v>126</v>
      </c>
      <c r="C11" s="14" t="s">
        <v>9</v>
      </c>
      <c r="D11" s="99"/>
    </row>
    <row r="12" spans="2:4" ht="15" customHeight="1" x14ac:dyDescent="0.2">
      <c r="B12" s="12" t="str">
        <f>+Q124</f>
        <v>Transito, Patrimonio, Red</v>
      </c>
      <c r="C12" s="14" t="s">
        <v>9</v>
      </c>
      <c r="D12" s="99"/>
    </row>
    <row r="13" spans="2:4" ht="15" customHeight="1" x14ac:dyDescent="0.2">
      <c r="B13" s="12" t="str">
        <f>+Q132</f>
        <v>AICLE, Fondo social Europeo</v>
      </c>
      <c r="C13" s="14" t="s">
        <v>9</v>
      </c>
      <c r="D13" s="99"/>
    </row>
    <row r="14" spans="2:4" ht="15" customHeight="1" x14ac:dyDescent="0.2">
      <c r="B14" s="12" t="str">
        <f>+T100</f>
        <v>Comunicación lingüística, Igualdad opotunidades, TIC</v>
      </c>
      <c r="C14" s="14" t="s">
        <v>9</v>
      </c>
      <c r="D14" s="99"/>
    </row>
    <row r="15" spans="2:4" ht="15" customHeight="1" x14ac:dyDescent="0.2">
      <c r="B15" s="11" t="str">
        <f>+T108</f>
        <v>Riesgos laborales, Agentes zonales, CEC</v>
      </c>
      <c r="C15" s="14" t="s">
        <v>9</v>
      </c>
      <c r="D15" s="99"/>
    </row>
    <row r="16" spans="2:4" ht="15" customHeight="1" x14ac:dyDescent="0.2">
      <c r="B16" s="11" t="str">
        <f>+T116</f>
        <v>Mediación</v>
      </c>
      <c r="C16" s="14" t="s">
        <v>9</v>
      </c>
      <c r="D16" s="99"/>
    </row>
    <row r="17" spans="2:4" ht="15" customHeight="1" x14ac:dyDescent="0.2">
      <c r="B17" s="11" t="str">
        <f>+T124</f>
        <v>Programas europeos</v>
      </c>
      <c r="C17" s="14" t="s">
        <v>9</v>
      </c>
      <c r="D17" s="99"/>
    </row>
    <row r="18" spans="2:4" ht="15" customHeight="1" x14ac:dyDescent="0.2">
      <c r="B18" s="11" t="s">
        <v>1</v>
      </c>
      <c r="C18" s="14" t="s">
        <v>9</v>
      </c>
      <c r="D18" s="99"/>
    </row>
    <row r="19" spans="2:4" ht="15" customHeight="1" x14ac:dyDescent="0.2">
      <c r="B19" s="11" t="s">
        <v>21</v>
      </c>
      <c r="C19" s="14" t="s">
        <v>9</v>
      </c>
      <c r="D19" s="99"/>
    </row>
    <row r="20" spans="2:4" ht="15" customHeight="1" x14ac:dyDescent="0.2">
      <c r="B20" s="11" t="s">
        <v>59</v>
      </c>
      <c r="C20" s="14" t="s">
        <v>9</v>
      </c>
      <c r="D20" s="99"/>
    </row>
    <row r="21" spans="2:4" ht="15" customHeight="1" x14ac:dyDescent="0.2">
      <c r="B21" s="11" t="s">
        <v>108</v>
      </c>
      <c r="C21" s="14" t="s">
        <v>9</v>
      </c>
      <c r="D21" s="99"/>
    </row>
    <row r="22" spans="2:4" ht="15" customHeight="1" x14ac:dyDescent="0.2">
      <c r="B22" s="11" t="s">
        <v>109</v>
      </c>
      <c r="C22" s="14" t="s">
        <v>9</v>
      </c>
      <c r="D22" s="99"/>
    </row>
    <row r="23" spans="2:4" ht="15" customHeight="1" x14ac:dyDescent="0.2">
      <c r="B23" s="11" t="s">
        <v>127</v>
      </c>
      <c r="C23" s="14" t="s">
        <v>9</v>
      </c>
      <c r="D23" s="99"/>
    </row>
    <row r="24" spans="2:4" ht="15" hidden="1" customHeight="1" x14ac:dyDescent="0.2">
      <c r="B24" s="11"/>
      <c r="C24" s="14"/>
      <c r="D24" s="99"/>
    </row>
    <row r="25" spans="2:4" ht="15" customHeight="1" x14ac:dyDescent="0.2">
      <c r="B25" s="11" t="s">
        <v>125</v>
      </c>
      <c r="C25" s="14" t="s">
        <v>9</v>
      </c>
      <c r="D25" s="100"/>
    </row>
    <row r="26" spans="2:4" ht="15" customHeight="1" thickBot="1" x14ac:dyDescent="0.25">
      <c r="C26" s="2"/>
    </row>
    <row r="27" spans="2:4" ht="27" thickBot="1" x14ac:dyDescent="0.45">
      <c r="B27" s="94" t="s">
        <v>72</v>
      </c>
      <c r="C27" s="95"/>
      <c r="D27" s="96"/>
    </row>
    <row r="28" spans="2:4" ht="15" customHeight="1" x14ac:dyDescent="0.2">
      <c r="B28" s="29"/>
      <c r="C28" s="27" t="s">
        <v>65</v>
      </c>
      <c r="D28" s="38"/>
    </row>
    <row r="29" spans="2:4" ht="15" customHeight="1" x14ac:dyDescent="0.25">
      <c r="B29" s="28" t="str">
        <f>+B43</f>
        <v>Número máximo de lectivas para impartición de las áreas o materias</v>
      </c>
      <c r="C29" s="50">
        <f>+C43</f>
        <v>16</v>
      </c>
      <c r="D29" s="38"/>
    </row>
    <row r="30" spans="2:4" ht="15" customHeight="1" x14ac:dyDescent="0.25">
      <c r="B30" s="28" t="s">
        <v>61</v>
      </c>
      <c r="C30" s="30">
        <f>SUM(C44:C55)</f>
        <v>3</v>
      </c>
      <c r="D30" s="38"/>
    </row>
    <row r="31" spans="2:4" ht="15" customHeight="1" x14ac:dyDescent="0.25">
      <c r="B31" s="28" t="s">
        <v>64</v>
      </c>
      <c r="C31" s="30">
        <f>IF(C18="Sí",2,0)</f>
        <v>0</v>
      </c>
      <c r="D31" s="38"/>
    </row>
    <row r="32" spans="2:4" ht="15" customHeight="1" x14ac:dyDescent="0.25">
      <c r="B32" s="31" t="s">
        <v>69</v>
      </c>
      <c r="C32" s="32">
        <f>+C29+C30+C31</f>
        <v>19</v>
      </c>
      <c r="D32" s="38"/>
    </row>
    <row r="33" spans="2:25" ht="15" x14ac:dyDescent="0.25">
      <c r="B33" s="34" t="s">
        <v>63</v>
      </c>
      <c r="C33" s="45">
        <f>IF(C20="Cumple 59 o 60 años durante el curso",2,IF(C20="Tiene más 60 años",3,IF(C20="Sólo dan 1 hora",1,0)))</f>
        <v>0</v>
      </c>
      <c r="D33" s="39" t="s">
        <v>94</v>
      </c>
    </row>
    <row r="34" spans="2:25" ht="12.75" thickBot="1" x14ac:dyDescent="0.25">
      <c r="B34" s="37"/>
      <c r="C34" s="38"/>
      <c r="D34" s="38"/>
    </row>
    <row r="35" spans="2:25" ht="12.95" customHeight="1" x14ac:dyDescent="0.2">
      <c r="B35" s="29"/>
      <c r="C35" s="27" t="s">
        <v>66</v>
      </c>
      <c r="D35" s="38"/>
    </row>
    <row r="36" spans="2:25" ht="15" customHeight="1" x14ac:dyDescent="0.25">
      <c r="B36" s="28" t="s">
        <v>68</v>
      </c>
      <c r="C36" s="50">
        <f>IF(C32+C33=19,4,IF(C32+C33=20,2,IF(C32+C33&lt;19,6,"ERROR")))</f>
        <v>4</v>
      </c>
      <c r="D36" s="38"/>
    </row>
    <row r="37" spans="2:25" ht="15" x14ac:dyDescent="0.25">
      <c r="B37" s="34" t="s">
        <v>67</v>
      </c>
      <c r="C37" s="45">
        <f>+C33</f>
        <v>0</v>
      </c>
      <c r="D37" s="38"/>
    </row>
    <row r="38" spans="2:25" ht="13.5" thickBot="1" x14ac:dyDescent="0.25">
      <c r="B38" s="33" t="s">
        <v>70</v>
      </c>
      <c r="C38" s="51">
        <f>+C36+C37</f>
        <v>4</v>
      </c>
      <c r="D38" s="38"/>
    </row>
    <row r="39" spans="2:25" ht="13.5" thickBot="1" x14ac:dyDescent="0.25">
      <c r="B39" s="35" t="s">
        <v>62</v>
      </c>
      <c r="C39" s="52">
        <f>+C61</f>
        <v>1</v>
      </c>
      <c r="D39" s="38"/>
    </row>
    <row r="40" spans="2:25" ht="15.75" thickBot="1" x14ac:dyDescent="0.3">
      <c r="B40" s="36" t="s">
        <v>71</v>
      </c>
      <c r="C40" s="53">
        <f>+C32+C36+C33</f>
        <v>23</v>
      </c>
      <c r="D40" s="40"/>
    </row>
    <row r="41" spans="2:25" ht="15" customHeight="1" thickBot="1" x14ac:dyDescent="0.25">
      <c r="C41" s="54"/>
    </row>
    <row r="42" spans="2:25" ht="15" customHeight="1" x14ac:dyDescent="0.2">
      <c r="B42" s="26" t="s">
        <v>24</v>
      </c>
      <c r="C42" s="27" t="s">
        <v>3</v>
      </c>
    </row>
    <row r="43" spans="2:25" ht="12.95" customHeight="1" x14ac:dyDescent="0.2">
      <c r="B43" s="28" t="s">
        <v>60</v>
      </c>
      <c r="C43" s="23">
        <f>18+C6-C44-C45-C46-C47-C48-C49-C50-C51-C52-C55-C58-C59-C53-C54</f>
        <v>16</v>
      </c>
    </row>
    <row r="44" spans="2:25" ht="15" customHeight="1" x14ac:dyDescent="0.2">
      <c r="B44" s="22" t="str">
        <f>IF(C8="no"," ","Horas de Jefatura de Departamento")</f>
        <v>Horas de Jefatura de Departamento</v>
      </c>
      <c r="C44" s="23">
        <f>IF(C8="NO",0,IF(C8="sí",IF(C7&lt;12,0,IF(C7&lt;55,1,IF(C7&lt;92,2,IF(C7&lt;127,3,IF(C7&lt;163,4,5)))))))</f>
        <v>1</v>
      </c>
    </row>
    <row r="45" spans="2:25" ht="15" customHeight="1" x14ac:dyDescent="0.2">
      <c r="B45" s="22" t="str">
        <f>IF(C9="no"," ","Profesor de ámbito en Departamento Orientación")</f>
        <v xml:space="preserve"> </v>
      </c>
      <c r="C45" s="23">
        <f>IF(C9="Sí",2,0)</f>
        <v>0</v>
      </c>
    </row>
    <row r="46" spans="2:25" ht="15" customHeight="1" x14ac:dyDescent="0.2">
      <c r="B46" s="22" t="str">
        <f>IF(C10="NO"," ",+C10)</f>
        <v>Tutor ESO</v>
      </c>
      <c r="C46" s="23">
        <f>IF(B46=Q101,R101,IF(B46=Q102,R102,IF(B46=Q103,R103,IF(B46=Q104,R104,IF(B46=Q105,R105,IF(B46=Q106,R106,IF(B46=Q107,R107,IF(B46=Q108,R108,IF(B46=Q109,R109,IF(B46=Q110,R110,IF(B46=Q111,R111,IF(B46=Q112,R112,IF(B46=Q113,R113,IF(B46=Q114,R114,0))))))))))))))</f>
        <v>2</v>
      </c>
      <c r="Q46" s="3"/>
      <c r="R46" s="3"/>
      <c r="S46" s="3"/>
      <c r="T46" s="3"/>
      <c r="U46" s="3"/>
      <c r="V46" s="3"/>
      <c r="W46" s="3"/>
      <c r="X46" s="3"/>
      <c r="Y46" s="3"/>
    </row>
    <row r="47" spans="2:25" ht="15" customHeight="1" x14ac:dyDescent="0.2">
      <c r="B47" s="22" t="str">
        <f t="shared" ref="B47:B52" si="0">IF(C12="NO"," ",+C12)</f>
        <v xml:space="preserve"> </v>
      </c>
      <c r="C47" s="23">
        <f>IF(B47=Q126,R126,IF(B47=Q127,R127,IF(B47=Q128,R128,IF(B47=Q129,R129,IF(B47=Q130,R130,0)))))</f>
        <v>0</v>
      </c>
      <c r="Q47" s="3"/>
      <c r="R47" s="3"/>
      <c r="S47" s="3"/>
      <c r="T47" s="3"/>
      <c r="U47" s="3"/>
      <c r="V47" s="3"/>
      <c r="W47" s="3"/>
      <c r="X47" s="3"/>
      <c r="Y47" s="3"/>
    </row>
    <row r="48" spans="2:25" ht="15" customHeight="1" x14ac:dyDescent="0.2">
      <c r="B48" s="22" t="str">
        <f t="shared" si="0"/>
        <v xml:space="preserve"> </v>
      </c>
      <c r="C48" s="23">
        <f>IF(B48=Q134,R134,IF(B48=Q135,R135,IF(B48=Q136,R136,IF(B48=Q137,R137,IF(B48=Q138,R138,0)))))</f>
        <v>0</v>
      </c>
      <c r="Q48" s="3"/>
      <c r="R48" s="3"/>
      <c r="S48" s="3"/>
      <c r="T48" s="3"/>
      <c r="U48" s="3"/>
      <c r="V48" s="3"/>
      <c r="W48" s="3"/>
      <c r="X48" s="3"/>
      <c r="Y48" s="3"/>
    </row>
    <row r="49" spans="2:25" ht="15" customHeight="1" x14ac:dyDescent="0.2">
      <c r="B49" s="22" t="str">
        <f t="shared" si="0"/>
        <v xml:space="preserve"> </v>
      </c>
      <c r="C49" s="23">
        <f>IF(B49=T102,U102,IF(B49=T103,U103,IF(B49=T104,U104,IF(B49=T105,U105,IF(B49=T106,U106,0)))))</f>
        <v>0</v>
      </c>
      <c r="Q49" s="3"/>
      <c r="R49" s="3"/>
      <c r="S49" s="3"/>
      <c r="T49" s="3"/>
      <c r="U49" s="3"/>
      <c r="V49" s="3"/>
      <c r="W49" s="3"/>
      <c r="X49" s="3"/>
      <c r="Y49" s="3"/>
    </row>
    <row r="50" spans="2:25" ht="15" customHeight="1" x14ac:dyDescent="0.2">
      <c r="B50" s="22" t="str">
        <f t="shared" si="0"/>
        <v xml:space="preserve"> </v>
      </c>
      <c r="C50" s="23">
        <f>IF(B50=T110,U110,IF(B50=T111,U111,IF(B50=T112,U112,IF(B50=T113,U113,IF(B50=T114,U114,0)))))</f>
        <v>0</v>
      </c>
      <c r="Q50" s="3"/>
      <c r="R50" s="3"/>
      <c r="S50" s="3"/>
      <c r="T50" s="3"/>
      <c r="U50" s="3"/>
      <c r="V50" s="3"/>
      <c r="W50" s="3"/>
      <c r="X50" s="3"/>
      <c r="Y50" s="3"/>
    </row>
    <row r="51" spans="2:25" ht="15" customHeight="1" x14ac:dyDescent="0.2">
      <c r="B51" s="22" t="str">
        <f t="shared" si="0"/>
        <v xml:space="preserve"> </v>
      </c>
      <c r="C51" s="23">
        <f>IF(B51=T118,U118,IF(B51=T119,U119,IF(B51=T120,U120,0)))</f>
        <v>0</v>
      </c>
      <c r="Q51" s="3"/>
      <c r="R51" s="3"/>
      <c r="S51" s="3"/>
      <c r="T51" s="3"/>
      <c r="U51" s="3"/>
      <c r="V51" s="3"/>
      <c r="W51" s="3"/>
      <c r="X51" s="3"/>
      <c r="Y51" s="3"/>
    </row>
    <row r="52" spans="2:25" ht="15" customHeight="1" x14ac:dyDescent="0.2">
      <c r="B52" s="22" t="str">
        <f t="shared" si="0"/>
        <v xml:space="preserve"> </v>
      </c>
      <c r="C52" s="23">
        <f>IF(B52=T126,U126,IF(B52=T127,U127,IF(B52=T128,U128,IF(B52=T129,U129,IF(B52=T130,U130,0)))))</f>
        <v>0</v>
      </c>
      <c r="Q52" s="3"/>
      <c r="R52" s="3"/>
      <c r="S52" s="3"/>
      <c r="T52" s="3"/>
      <c r="U52" s="3"/>
      <c r="V52" s="3"/>
      <c r="W52" s="3"/>
      <c r="X52" s="3"/>
      <c r="Y52" s="3"/>
    </row>
    <row r="53" spans="2:25" ht="15" customHeight="1" x14ac:dyDescent="0.2">
      <c r="B53" s="63" t="str">
        <f>IF(C23="NO","","Coordinador de la FCT")</f>
        <v/>
      </c>
      <c r="C53" s="64">
        <f>IF(C23="SÍ",3,0)</f>
        <v>0</v>
      </c>
      <c r="Q53" s="3"/>
      <c r="R53" s="3"/>
      <c r="S53" s="3"/>
      <c r="T53" s="3"/>
      <c r="U53" s="3"/>
      <c r="V53" s="3"/>
      <c r="W53" s="3"/>
      <c r="X53" s="3"/>
      <c r="Y53" s="3"/>
    </row>
    <row r="54" spans="2:25" ht="15" customHeight="1" x14ac:dyDescent="0.2">
      <c r="B54" s="63" t="str">
        <f>IF(C25="SÍ","Coordinador de la familia profesional","")</f>
        <v/>
      </c>
      <c r="C54" s="64">
        <f>IF(C25="SÍ",2,0)</f>
        <v>0</v>
      </c>
      <c r="Q54" s="3"/>
      <c r="R54" s="3"/>
      <c r="S54" s="3"/>
      <c r="T54" s="3"/>
      <c r="U54" s="3"/>
      <c r="V54" s="3"/>
      <c r="W54" s="3"/>
      <c r="X54" s="3"/>
      <c r="Y54" s="3"/>
    </row>
    <row r="55" spans="2:25" ht="15" customHeight="1" thickBot="1" x14ac:dyDescent="0.25">
      <c r="B55" s="24" t="str">
        <f>IF(C19="no"," ",IF(C19="Gestión directa","Encargado Comedor.Gestión directa","Encargado Comedor.Gestión directa"))</f>
        <v xml:space="preserve"> </v>
      </c>
      <c r="C55" s="25">
        <f>IF(C19="no",0,IF(C19="Gestión directa",4,1))</f>
        <v>0</v>
      </c>
      <c r="Q55" s="3"/>
      <c r="R55" s="3"/>
      <c r="S55" s="3"/>
      <c r="T55" s="3"/>
      <c r="U55" s="3"/>
      <c r="V55" s="3"/>
      <c r="W55" s="3"/>
      <c r="X55" s="3"/>
      <c r="Y55" s="3"/>
    </row>
    <row r="56" spans="2:25" ht="3.75" customHeight="1" thickBot="1" x14ac:dyDescent="0.25">
      <c r="C56" s="2"/>
      <c r="Q56" s="3"/>
      <c r="R56" s="3"/>
      <c r="S56" s="3"/>
      <c r="T56" s="3"/>
      <c r="U56" s="3"/>
      <c r="V56" s="3"/>
      <c r="W56" s="3"/>
      <c r="X56" s="3"/>
      <c r="Y56" s="3"/>
    </row>
    <row r="57" spans="2:25" ht="15" customHeight="1" x14ac:dyDescent="0.2">
      <c r="B57" s="20"/>
      <c r="C57" s="21" t="s">
        <v>7</v>
      </c>
      <c r="Q57" s="3"/>
      <c r="R57" s="3"/>
      <c r="S57" s="3"/>
      <c r="T57" s="3"/>
      <c r="U57" s="3"/>
      <c r="V57" s="3"/>
      <c r="W57" s="3"/>
      <c r="X57" s="3"/>
      <c r="Y57" s="3"/>
    </row>
    <row r="58" spans="2:25" ht="15" customHeight="1" x14ac:dyDescent="0.2">
      <c r="B58" s="22" t="str">
        <f>IF(C18="NO"," ","Descuento lectivo por compartir centro")</f>
        <v xml:space="preserve"> </v>
      </c>
      <c r="C58" s="23">
        <f>IF(C18="Sí",2,0)</f>
        <v>0</v>
      </c>
      <c r="Q58" s="3"/>
      <c r="R58" s="3"/>
      <c r="S58" s="3"/>
      <c r="T58" s="3"/>
      <c r="U58" s="3"/>
      <c r="V58" s="3"/>
      <c r="W58" s="3"/>
      <c r="X58" s="3"/>
      <c r="Y58" s="3"/>
    </row>
    <row r="59" spans="2:25" ht="15" customHeight="1" thickBot="1" x14ac:dyDescent="0.25">
      <c r="B59" s="24" t="str">
        <f>IF(C20="Cumple 59 o 60 años durante el curso","Edad. Nº de lectivas que se transforman en complementarias. Si existe disponibilidad",IF(C20="Tiene más 60 años","Edad. Nº de lectivas que se transforman en complementarias. Si existe disponibilidad",IF(C20="Sólo dan 1 hora","Edad. Nº de lectivas que se transforman en complementarias. Si existe disponibilidad"," ")))</f>
        <v xml:space="preserve"> </v>
      </c>
      <c r="C59" s="25">
        <f>IF(C20="Cumple 59 o 60 años durante el curso",2,IF(C20="Tiene más 60 años",3,IF(C20="Sólo dan 1 hora",1,0)))</f>
        <v>0</v>
      </c>
      <c r="Q59" s="3"/>
      <c r="R59" s="3"/>
      <c r="S59" s="3"/>
      <c r="T59" s="3"/>
      <c r="U59" s="3"/>
      <c r="V59" s="3"/>
      <c r="W59" s="3"/>
      <c r="X59" s="3"/>
      <c r="Y59" s="3"/>
    </row>
    <row r="60" spans="2:25" ht="15" customHeight="1" x14ac:dyDescent="0.2">
      <c r="B60" s="15" t="s">
        <v>5</v>
      </c>
      <c r="C60" s="16">
        <f>+C43+C44+C45+C46+C47+C48+C49+C50+C55+C58+C59</f>
        <v>19</v>
      </c>
      <c r="Q60" s="3"/>
      <c r="R60" s="3"/>
      <c r="S60" s="3"/>
      <c r="T60" s="3"/>
      <c r="U60" s="3"/>
      <c r="V60" s="3"/>
      <c r="W60" s="3"/>
      <c r="X60" s="3"/>
      <c r="Y60" s="3"/>
    </row>
    <row r="61" spans="2:25" ht="15" customHeight="1" x14ac:dyDescent="0.2">
      <c r="B61" s="17" t="s">
        <v>129</v>
      </c>
      <c r="C61" s="18">
        <f>IF(C6=1,1,IF(C6=2,2,0))</f>
        <v>1</v>
      </c>
      <c r="Q61" s="3"/>
      <c r="R61" s="3"/>
      <c r="S61" s="3"/>
      <c r="T61" s="3"/>
      <c r="U61" s="3"/>
      <c r="V61" s="3"/>
      <c r="W61" s="3"/>
      <c r="X61" s="3"/>
      <c r="Y61" s="3"/>
    </row>
    <row r="62" spans="2:25" ht="15" hidden="1" customHeight="1" thickBot="1" x14ac:dyDescent="0.25">
      <c r="C62" s="19">
        <f>IF(C60&lt;21,26,IF(C60=21,25,IF(C60=22,24,0)))</f>
        <v>26</v>
      </c>
      <c r="Q62" s="3"/>
      <c r="R62" s="3"/>
      <c r="S62" s="3"/>
      <c r="T62" s="3"/>
      <c r="U62" s="3"/>
      <c r="V62" s="3"/>
      <c r="W62" s="3"/>
      <c r="X62" s="3"/>
      <c r="Y62" s="3"/>
    </row>
    <row r="63" spans="2:25" ht="12" x14ac:dyDescent="0.2">
      <c r="Q63" s="3"/>
      <c r="R63" s="3"/>
      <c r="S63" s="3"/>
      <c r="T63" s="3"/>
      <c r="U63" s="3"/>
      <c r="V63" s="3"/>
      <c r="W63" s="3"/>
      <c r="X63" s="3"/>
      <c r="Y63" s="3"/>
    </row>
    <row r="64" spans="2:25" ht="12.95" customHeight="1" x14ac:dyDescent="0.2">
      <c r="B64" s="59" t="s">
        <v>16</v>
      </c>
      <c r="C64" s="60" t="s">
        <v>17</v>
      </c>
      <c r="Q64" s="3"/>
      <c r="R64" s="3"/>
      <c r="S64" s="3"/>
      <c r="T64" s="3"/>
      <c r="U64" s="3"/>
      <c r="V64" s="3"/>
      <c r="W64" s="3"/>
      <c r="X64" s="3"/>
      <c r="Y64" s="3"/>
    </row>
    <row r="65" spans="2:25" ht="26.25" customHeight="1" thickBot="1" x14ac:dyDescent="0.25">
      <c r="B65" s="57" t="s">
        <v>86</v>
      </c>
      <c r="C65" s="58">
        <f>+C38</f>
        <v>4</v>
      </c>
      <c r="Q65" s="3"/>
      <c r="R65" s="3"/>
      <c r="S65" s="3"/>
      <c r="T65" s="3"/>
      <c r="U65" s="3"/>
      <c r="V65" s="3"/>
      <c r="W65" s="3"/>
      <c r="X65" s="3"/>
      <c r="Y65" s="3"/>
    </row>
    <row r="66" spans="2:25" ht="12.95" customHeight="1" x14ac:dyDescent="0.2">
      <c r="B66" s="42" t="s">
        <v>4</v>
      </c>
      <c r="C66" s="4">
        <v>1</v>
      </c>
      <c r="Q66" s="3"/>
      <c r="R66" s="3"/>
      <c r="S66" s="3"/>
      <c r="T66" s="3"/>
      <c r="U66" s="3"/>
      <c r="V66" s="3"/>
      <c r="W66" s="3"/>
      <c r="X66" s="3"/>
      <c r="Y66" s="3"/>
    </row>
    <row r="67" spans="2:25" ht="12.95" customHeight="1" x14ac:dyDescent="0.2">
      <c r="B67" s="42" t="str">
        <f>IF(C8="NO"," ","Comisión de Coordinación Pedagogica")</f>
        <v>Comisión de Coordinación Pedagogica</v>
      </c>
      <c r="C67" s="4">
        <f>IF(C8="sí",1,0)</f>
        <v>1</v>
      </c>
      <c r="Q67" s="3"/>
      <c r="R67" s="3"/>
      <c r="S67" s="3"/>
      <c r="T67" s="3"/>
      <c r="U67" s="3"/>
      <c r="V67" s="3"/>
      <c r="W67" s="3"/>
      <c r="X67" s="3"/>
      <c r="Y67" s="3"/>
    </row>
    <row r="68" spans="2:25" ht="12.95" customHeight="1" x14ac:dyDescent="0.2">
      <c r="B68" s="43" t="str">
        <f>IF(C10="NO"," ",+C10)</f>
        <v>Tutor ESO</v>
      </c>
      <c r="C68" s="6">
        <f>IF(B46=Q101,S101,IF(B46=Q102,S102,IF(B46=Q103,S103,IF(B46=Q104,S104,IF(B46=Q105,S105,IF(B46=Q106,S106,IF(B46=Q107,S107,IF(B46=Q108,S108,IF(B46=Q109,S109,IF(B46=Q110,S110,IF(B46=Q111,S111,IF(B46=Q112,S112,IF(B46=Q113,S113,IF(B46=Q114,S114,0))))))))))))))</f>
        <v>3</v>
      </c>
      <c r="Q68" s="3"/>
      <c r="R68" s="3"/>
      <c r="S68" s="3"/>
      <c r="T68" s="3"/>
      <c r="U68" s="3"/>
      <c r="V68" s="3"/>
      <c r="W68" s="3"/>
      <c r="X68" s="3"/>
      <c r="Y68" s="3"/>
    </row>
    <row r="69" spans="2:25" ht="12" x14ac:dyDescent="0.2">
      <c r="B69" s="43" t="str">
        <f>IF(C21="NO"," ",+B21)</f>
        <v xml:space="preserve"> </v>
      </c>
      <c r="C69" s="6">
        <f>IF(C21="SÍ",1,0)</f>
        <v>0</v>
      </c>
      <c r="D69" s="3"/>
      <c r="Q69" s="3"/>
      <c r="R69" s="3"/>
      <c r="S69" s="3"/>
      <c r="T69" s="3"/>
      <c r="U69" s="3"/>
      <c r="V69" s="3"/>
      <c r="W69" s="3"/>
      <c r="X69" s="3"/>
      <c r="Y69" s="3"/>
    </row>
    <row r="70" spans="2:25" ht="12" x14ac:dyDescent="0.2">
      <c r="B70" s="43" t="str">
        <f>IF(C23="NO"," ","Coordinador de la FCT")</f>
        <v xml:space="preserve"> </v>
      </c>
      <c r="C70" s="6">
        <f>IF(C23="SÍ",5,0)</f>
        <v>0</v>
      </c>
      <c r="D70" s="9" t="s">
        <v>111</v>
      </c>
      <c r="Q70" s="3"/>
      <c r="R70" s="3"/>
      <c r="S70" s="3"/>
      <c r="T70" s="3"/>
      <c r="U70" s="3"/>
      <c r="V70" s="3"/>
      <c r="W70" s="3"/>
      <c r="X70" s="3"/>
      <c r="Y70" s="3"/>
    </row>
    <row r="71" spans="2:25" ht="12" x14ac:dyDescent="0.2">
      <c r="B71" s="43" t="str">
        <f>IF(C22="NO"," ",B22)</f>
        <v xml:space="preserve"> </v>
      </c>
      <c r="C71" s="6">
        <f>IF(C22="SÍ",4,0)</f>
        <v>0</v>
      </c>
      <c r="D71" s="9" t="s">
        <v>110</v>
      </c>
      <c r="Q71" s="3"/>
      <c r="R71" s="3"/>
      <c r="S71" s="3"/>
      <c r="T71" s="3"/>
      <c r="U71" s="3"/>
      <c r="V71" s="3"/>
      <c r="W71" s="3"/>
      <c r="X71" s="3"/>
      <c r="Y71" s="3"/>
    </row>
    <row r="72" spans="2:25" ht="12" x14ac:dyDescent="0.2">
      <c r="B72" s="43" t="str">
        <f>IF(C25="SÍ","Coordinador de la familia profesional","")</f>
        <v/>
      </c>
      <c r="C72" s="6">
        <f>IF(C22="SÍ",5,0)</f>
        <v>0</v>
      </c>
      <c r="D72" s="9"/>
      <c r="Q72" s="3"/>
      <c r="R72" s="3"/>
      <c r="S72" s="3"/>
      <c r="T72" s="3"/>
      <c r="U72" s="3"/>
      <c r="V72" s="3"/>
      <c r="W72" s="3"/>
      <c r="X72" s="3"/>
      <c r="Y72" s="3"/>
    </row>
    <row r="73" spans="2:25" ht="12" x14ac:dyDescent="0.2">
      <c r="B73" s="43" t="str">
        <f>IF(C9="NO"," ","Coordinación del Ámbito")</f>
        <v xml:space="preserve"> </v>
      </c>
      <c r="C73" s="6">
        <f>IF(C9="SÍ",1,0)</f>
        <v>0</v>
      </c>
      <c r="D73" s="3"/>
      <c r="Q73" s="3"/>
      <c r="R73" s="3"/>
      <c r="S73" s="3"/>
      <c r="T73" s="3"/>
      <c r="U73" s="3"/>
      <c r="V73" s="3"/>
      <c r="W73" s="3"/>
      <c r="X73" s="3"/>
      <c r="Y73" s="3"/>
    </row>
    <row r="74" spans="2:25" ht="12" x14ac:dyDescent="0.2">
      <c r="B74" s="44" t="s">
        <v>122</v>
      </c>
      <c r="C74" s="46">
        <f>+C65-C66-C67-C68-C69-C73-C70-C71-C72</f>
        <v>-1</v>
      </c>
      <c r="Q74" s="3"/>
      <c r="R74" s="3"/>
      <c r="S74" s="3"/>
      <c r="T74" s="3"/>
      <c r="U74" s="3"/>
      <c r="V74" s="3"/>
      <c r="W74" s="3"/>
      <c r="X74" s="3"/>
      <c r="Y74" s="3"/>
    </row>
    <row r="75" spans="2:25" ht="12.75" x14ac:dyDescent="0.2">
      <c r="B75" s="49" t="s">
        <v>85</v>
      </c>
      <c r="C75" s="61"/>
      <c r="D75" s="47" t="s">
        <v>93</v>
      </c>
      <c r="Q75" s="3"/>
      <c r="R75" s="3"/>
      <c r="S75" s="3"/>
      <c r="T75" s="3"/>
      <c r="U75" s="3"/>
      <c r="V75" s="3"/>
      <c r="W75" s="3"/>
      <c r="X75" s="3"/>
      <c r="Y75" s="3"/>
    </row>
    <row r="76" spans="2:25" ht="12.95" customHeight="1" x14ac:dyDescent="0.2">
      <c r="B76" s="41" t="s">
        <v>56</v>
      </c>
      <c r="C76" s="61"/>
      <c r="D76" s="48"/>
      <c r="E76" s="97" t="s">
        <v>95</v>
      </c>
      <c r="R76" s="3"/>
      <c r="S76" s="3"/>
      <c r="T76" s="3"/>
      <c r="U76" s="3"/>
      <c r="V76" s="3"/>
      <c r="W76" s="3"/>
      <c r="X76" s="3"/>
      <c r="Y76" s="3"/>
    </row>
    <row r="77" spans="2:25" ht="12.95" customHeight="1" x14ac:dyDescent="0.2">
      <c r="B77" s="41" t="s">
        <v>73</v>
      </c>
      <c r="C77" s="61"/>
      <c r="D77" s="48">
        <v>4</v>
      </c>
      <c r="E77" s="97"/>
      <c r="R77" s="3"/>
      <c r="S77" s="3"/>
      <c r="T77" s="3"/>
      <c r="U77" s="3"/>
      <c r="V77" s="3"/>
      <c r="W77" s="3"/>
      <c r="X77" s="3"/>
      <c r="Y77" s="3"/>
    </row>
    <row r="78" spans="2:25" ht="12.95" customHeight="1" x14ac:dyDescent="0.2">
      <c r="B78" s="41" t="s">
        <v>74</v>
      </c>
      <c r="C78" s="61"/>
      <c r="D78" s="48">
        <v>1</v>
      </c>
      <c r="E78" s="97"/>
      <c r="R78" s="3"/>
      <c r="S78" s="3"/>
      <c r="T78" s="3"/>
      <c r="U78" s="3"/>
      <c r="V78" s="3"/>
      <c r="W78" s="3"/>
      <c r="X78" s="3"/>
      <c r="Y78" s="3"/>
    </row>
    <row r="79" spans="2:25" ht="12.95" customHeight="1" x14ac:dyDescent="0.2">
      <c r="B79" s="41" t="s">
        <v>75</v>
      </c>
      <c r="C79" s="61"/>
      <c r="D79" s="48">
        <v>5</v>
      </c>
      <c r="E79" s="97"/>
      <c r="R79" s="3"/>
      <c r="S79" s="3"/>
      <c r="T79" s="3"/>
      <c r="U79" s="3"/>
      <c r="V79" s="3"/>
      <c r="W79" s="3"/>
      <c r="X79" s="3"/>
      <c r="Y79" s="3"/>
    </row>
    <row r="80" spans="2:25" ht="12.95" customHeight="1" x14ac:dyDescent="0.2">
      <c r="B80" s="41" t="s">
        <v>76</v>
      </c>
      <c r="C80" s="61"/>
      <c r="D80" s="48">
        <v>1</v>
      </c>
      <c r="E80" s="97"/>
      <c r="R80" s="3"/>
      <c r="S80" s="3"/>
      <c r="T80" s="3"/>
      <c r="U80" s="3"/>
      <c r="V80" s="3"/>
      <c r="W80" s="3"/>
      <c r="X80" s="3"/>
      <c r="Y80" s="3"/>
    </row>
    <row r="81" spans="2:25" ht="12.95" customHeight="1" x14ac:dyDescent="0.2">
      <c r="B81" s="41" t="s">
        <v>77</v>
      </c>
      <c r="C81" s="61"/>
      <c r="D81" s="48">
        <v>1</v>
      </c>
      <c r="E81" s="97"/>
      <c r="R81" s="3"/>
      <c r="S81" s="3"/>
      <c r="T81" s="3"/>
      <c r="U81" s="3"/>
      <c r="V81" s="3"/>
      <c r="W81" s="3"/>
      <c r="X81" s="3"/>
      <c r="Y81" s="3"/>
    </row>
    <row r="82" spans="2:25" ht="12.95" customHeight="1" x14ac:dyDescent="0.2">
      <c r="B82" s="41" t="s">
        <v>78</v>
      </c>
      <c r="C82" s="61"/>
      <c r="D82" s="48">
        <v>2</v>
      </c>
      <c r="E82" s="97"/>
      <c r="R82" s="3"/>
      <c r="S82" s="3"/>
      <c r="T82" s="3"/>
      <c r="U82" s="3"/>
      <c r="V82" s="3"/>
      <c r="W82" s="3"/>
      <c r="X82" s="3"/>
      <c r="Y82" s="3"/>
    </row>
    <row r="83" spans="2:25" ht="12.95" customHeight="1" x14ac:dyDescent="0.2">
      <c r="B83" s="41" t="s">
        <v>79</v>
      </c>
      <c r="C83" s="61"/>
      <c r="D83" s="48">
        <v>2</v>
      </c>
      <c r="E83" s="97"/>
      <c r="R83" s="3"/>
      <c r="S83" s="3"/>
      <c r="T83" s="3"/>
      <c r="U83" s="3"/>
      <c r="V83" s="3"/>
      <c r="W83" s="3"/>
      <c r="X83" s="3"/>
      <c r="Y83" s="3"/>
    </row>
    <row r="84" spans="2:25" ht="12.95" customHeight="1" x14ac:dyDescent="0.2">
      <c r="B84" s="41" t="s">
        <v>80</v>
      </c>
      <c r="C84" s="61"/>
      <c r="D84" s="48">
        <v>2</v>
      </c>
      <c r="E84" s="97"/>
      <c r="R84" s="3"/>
      <c r="S84" s="3"/>
      <c r="T84" s="3"/>
      <c r="U84" s="3"/>
      <c r="V84" s="3"/>
      <c r="W84" s="3"/>
      <c r="X84" s="3"/>
      <c r="Y84" s="3"/>
    </row>
    <row r="85" spans="2:25" ht="12.95" customHeight="1" x14ac:dyDescent="0.2">
      <c r="B85" s="41" t="s">
        <v>27</v>
      </c>
      <c r="C85" s="61"/>
      <c r="D85" s="48"/>
      <c r="E85" s="97"/>
      <c r="R85" s="3"/>
      <c r="S85" s="3"/>
      <c r="T85" s="3"/>
      <c r="U85" s="3"/>
      <c r="V85" s="3"/>
      <c r="W85" s="3"/>
      <c r="X85" s="3"/>
      <c r="Y85" s="3"/>
    </row>
    <row r="86" spans="2:25" ht="12.95" customHeight="1" x14ac:dyDescent="0.2">
      <c r="B86" s="41" t="s">
        <v>28</v>
      </c>
      <c r="C86" s="61"/>
      <c r="D86" s="48"/>
      <c r="E86" s="97"/>
    </row>
    <row r="87" spans="2:25" ht="12.95" customHeight="1" x14ac:dyDescent="0.2">
      <c r="B87" s="41" t="s">
        <v>29</v>
      </c>
      <c r="C87" s="61"/>
      <c r="D87" s="48">
        <v>2</v>
      </c>
      <c r="E87" s="97"/>
      <c r="R87" s="3"/>
      <c r="S87" s="3"/>
      <c r="T87" s="3"/>
      <c r="U87" s="3"/>
      <c r="V87" s="3"/>
      <c r="W87" s="3"/>
      <c r="X87" s="3"/>
      <c r="Y87" s="3"/>
    </row>
    <row r="88" spans="2:25" ht="12.95" customHeight="1" x14ac:dyDescent="0.2">
      <c r="B88" s="41" t="s">
        <v>31</v>
      </c>
      <c r="C88" s="61"/>
      <c r="D88" s="48"/>
      <c r="E88" s="97"/>
      <c r="R88" s="3"/>
      <c r="S88" s="3"/>
      <c r="T88" s="3"/>
      <c r="U88" s="3"/>
      <c r="V88" s="3"/>
      <c r="W88" s="3"/>
      <c r="X88" s="3"/>
      <c r="Y88" s="3"/>
    </row>
    <row r="89" spans="2:25" ht="12.95" customHeight="1" x14ac:dyDescent="0.2">
      <c r="B89" s="41" t="s">
        <v>81</v>
      </c>
      <c r="C89" s="61"/>
      <c r="D89" s="48">
        <v>1</v>
      </c>
      <c r="E89" s="97"/>
      <c r="R89" s="3"/>
      <c r="S89" s="3"/>
      <c r="T89" s="3"/>
      <c r="U89" s="3"/>
      <c r="V89" s="3"/>
      <c r="W89" s="3"/>
      <c r="X89" s="3"/>
      <c r="Y89" s="3"/>
    </row>
    <row r="90" spans="2:25" ht="12.95" customHeight="1" x14ac:dyDescent="0.2">
      <c r="B90" s="41" t="s">
        <v>58</v>
      </c>
      <c r="C90" s="61"/>
      <c r="D90" s="48">
        <v>1</v>
      </c>
      <c r="E90" s="97"/>
      <c r="R90" s="3"/>
      <c r="S90" s="3"/>
      <c r="T90" s="3"/>
      <c r="U90" s="3"/>
      <c r="V90" s="3"/>
      <c r="W90" s="3"/>
      <c r="X90" s="3"/>
      <c r="Y90" s="3"/>
    </row>
    <row r="91" spans="2:25" ht="12.95" customHeight="1" x14ac:dyDescent="0.2">
      <c r="B91" s="41" t="s">
        <v>82</v>
      </c>
      <c r="C91" s="61"/>
      <c r="D91" s="48"/>
      <c r="E91" s="97"/>
      <c r="R91" s="3"/>
      <c r="S91" s="3"/>
      <c r="T91" s="3"/>
      <c r="U91" s="3"/>
      <c r="V91" s="3"/>
      <c r="W91" s="3"/>
      <c r="X91" s="3"/>
      <c r="Y91" s="3"/>
    </row>
    <row r="92" spans="2:25" ht="12.95" customHeight="1" x14ac:dyDescent="0.2">
      <c r="B92" s="41" t="s">
        <v>83</v>
      </c>
      <c r="C92" s="61"/>
      <c r="D92" s="48"/>
      <c r="E92" s="97"/>
      <c r="R92" s="3"/>
      <c r="S92" s="3"/>
      <c r="T92" s="3"/>
      <c r="U92" s="3"/>
      <c r="V92" s="3"/>
      <c r="W92" s="3"/>
      <c r="X92" s="3"/>
      <c r="Y92" s="3"/>
    </row>
    <row r="93" spans="2:25" ht="12.95" customHeight="1" x14ac:dyDescent="0.2">
      <c r="B93" s="41" t="s">
        <v>84</v>
      </c>
      <c r="C93" s="61"/>
      <c r="D93" s="48">
        <v>2</v>
      </c>
      <c r="E93" s="97"/>
      <c r="R93" s="3"/>
      <c r="S93" s="3"/>
      <c r="T93" s="3"/>
      <c r="U93" s="3"/>
      <c r="V93" s="3"/>
      <c r="W93" s="3"/>
      <c r="X93" s="3"/>
      <c r="Y93" s="3"/>
    </row>
    <row r="94" spans="2:25" ht="12.95" customHeight="1" x14ac:dyDescent="0.2">
      <c r="D94" s="3"/>
      <c r="R94" s="3"/>
      <c r="S94" s="3"/>
      <c r="T94" s="3"/>
      <c r="U94" s="3"/>
      <c r="V94" s="3"/>
      <c r="W94" s="3"/>
      <c r="X94" s="3"/>
      <c r="Y94" s="3"/>
    </row>
    <row r="95" spans="2:25" ht="34.5" customHeight="1" x14ac:dyDescent="0.2">
      <c r="C95" s="62" t="str">
        <f>IF(SUM(C75:C93)&gt;C74,"HORARIO IRREGULAR"," ")</f>
        <v>HORARIO IRREGULAR</v>
      </c>
      <c r="D95" s="3"/>
      <c r="R95" s="3"/>
      <c r="S95" s="3"/>
      <c r="T95" s="3"/>
      <c r="U95" s="3"/>
      <c r="V95" s="3"/>
      <c r="W95" s="3"/>
      <c r="X95" s="3"/>
      <c r="Y95" s="3"/>
    </row>
    <row r="96" spans="2:25" ht="12.95" customHeight="1" x14ac:dyDescent="0.2">
      <c r="D96" s="3"/>
      <c r="R96" s="3"/>
      <c r="S96" s="3"/>
      <c r="T96" s="3"/>
      <c r="U96" s="3"/>
      <c r="V96" s="3"/>
      <c r="W96" s="3"/>
      <c r="X96" s="3"/>
      <c r="Y96" s="3"/>
    </row>
    <row r="97" spans="2:43" ht="23.25" hidden="1" x14ac:dyDescent="0.35">
      <c r="B97" s="85" t="s">
        <v>120</v>
      </c>
      <c r="C97" s="86"/>
      <c r="D97" s="86"/>
      <c r="E97" s="87"/>
      <c r="R97" s="3"/>
      <c r="S97" s="3"/>
      <c r="T97" s="3"/>
      <c r="U97" s="3"/>
      <c r="V97" s="3"/>
      <c r="W97" s="3"/>
      <c r="X97" s="3"/>
      <c r="Y97" s="3"/>
    </row>
    <row r="98" spans="2:43" ht="12.95" hidden="1" customHeight="1" x14ac:dyDescent="0.2">
      <c r="B98" s="37"/>
      <c r="C98" s="68"/>
      <c r="D98" s="68"/>
      <c r="E98" s="38"/>
      <c r="R98" s="3"/>
      <c r="S98" s="3"/>
      <c r="T98" s="3"/>
      <c r="U98" s="3"/>
      <c r="V98" s="3"/>
      <c r="W98" s="3"/>
      <c r="X98" s="3"/>
      <c r="Y98" s="3"/>
    </row>
    <row r="99" spans="2:43" ht="12.95" hidden="1" customHeight="1" x14ac:dyDescent="0.2">
      <c r="B99" s="37"/>
      <c r="C99" s="47" t="s">
        <v>112</v>
      </c>
      <c r="D99" s="47" t="s">
        <v>113</v>
      </c>
      <c r="E99" s="69" t="s">
        <v>55</v>
      </c>
      <c r="Y99" s="3"/>
    </row>
    <row r="100" spans="2:43" ht="15.95" hidden="1" customHeight="1" x14ac:dyDescent="0.2">
      <c r="B100" s="70" t="s">
        <v>114</v>
      </c>
      <c r="C100" s="81">
        <v>25</v>
      </c>
      <c r="D100" s="81">
        <v>26</v>
      </c>
      <c r="E100" s="71">
        <f>+D100-C100</f>
        <v>1</v>
      </c>
      <c r="Q100" s="5" t="s">
        <v>12</v>
      </c>
      <c r="R100" s="5" t="s">
        <v>30</v>
      </c>
      <c r="S100" s="5" t="s">
        <v>55</v>
      </c>
      <c r="T100" s="5" t="s">
        <v>89</v>
      </c>
      <c r="U100" s="5" t="s">
        <v>30</v>
      </c>
      <c r="V100" s="5" t="s">
        <v>55</v>
      </c>
      <c r="W100" s="1" t="s">
        <v>13</v>
      </c>
      <c r="X100" s="1"/>
      <c r="Y100" s="1" t="s">
        <v>57</v>
      </c>
      <c r="Z100" s="8" t="s">
        <v>21</v>
      </c>
    </row>
    <row r="101" spans="2:43" ht="15.95" hidden="1" customHeight="1" x14ac:dyDescent="0.2">
      <c r="B101" s="70" t="s">
        <v>115</v>
      </c>
      <c r="C101" s="81">
        <v>25</v>
      </c>
      <c r="D101" s="81">
        <v>26</v>
      </c>
      <c r="E101" s="71">
        <f t="shared" ref="E101:E103" si="1">+D101-C101</f>
        <v>1</v>
      </c>
      <c r="Q101" s="9" t="s">
        <v>9</v>
      </c>
      <c r="R101" s="3">
        <v>0</v>
      </c>
      <c r="S101" s="3"/>
      <c r="T101" s="9" t="s">
        <v>9</v>
      </c>
      <c r="U101" s="3">
        <v>0</v>
      </c>
      <c r="V101" s="3"/>
      <c r="W101" s="3" t="s">
        <v>9</v>
      </c>
      <c r="X101" s="3" t="s">
        <v>8</v>
      </c>
      <c r="Y101" s="3">
        <v>0</v>
      </c>
      <c r="Z101" s="2" t="s">
        <v>9</v>
      </c>
      <c r="AQ101" s="55"/>
    </row>
    <row r="102" spans="2:43" ht="15.95" hidden="1" customHeight="1" x14ac:dyDescent="0.25">
      <c r="B102" s="70" t="s">
        <v>116</v>
      </c>
      <c r="C102" s="81">
        <v>14</v>
      </c>
      <c r="D102" s="67">
        <f>IF((+D103+(+D103-D100)+(+D103-D101))&gt;26,26,(+D103+(+D103-D100)+(+D103-D101)))</f>
        <v>22.000000000000004</v>
      </c>
      <c r="E102" s="72">
        <f t="shared" si="1"/>
        <v>8.0000000000000036</v>
      </c>
      <c r="Q102" s="9" t="s">
        <v>6</v>
      </c>
      <c r="R102" s="3">
        <v>2</v>
      </c>
      <c r="S102" s="3">
        <v>3</v>
      </c>
      <c r="T102" s="10" t="s">
        <v>28</v>
      </c>
      <c r="U102" s="3">
        <v>1</v>
      </c>
      <c r="V102" s="56"/>
      <c r="W102" s="3" t="s">
        <v>14</v>
      </c>
      <c r="X102" s="3" t="s">
        <v>9</v>
      </c>
      <c r="Y102" s="3">
        <v>1</v>
      </c>
      <c r="Z102" s="2" t="s">
        <v>22</v>
      </c>
      <c r="AQ102" s="55"/>
    </row>
    <row r="103" spans="2:43" ht="15.95" hidden="1" customHeight="1" x14ac:dyDescent="0.2">
      <c r="B103" s="70" t="s">
        <v>117</v>
      </c>
      <c r="C103" s="66">
        <f>(C100+C101+C102)/3</f>
        <v>21.333333333333332</v>
      </c>
      <c r="D103" s="66">
        <f>IF((26-C103+20)&gt;26,26,(26-C103+20))</f>
        <v>24.666666666666668</v>
      </c>
      <c r="E103" s="73">
        <f t="shared" si="1"/>
        <v>3.3333333333333357</v>
      </c>
      <c r="Q103" s="9" t="s">
        <v>0</v>
      </c>
      <c r="R103" s="3">
        <v>2</v>
      </c>
      <c r="S103" s="3">
        <v>2</v>
      </c>
      <c r="T103" s="10" t="s">
        <v>29</v>
      </c>
      <c r="U103" s="3">
        <v>1</v>
      </c>
      <c r="V103" s="56"/>
      <c r="W103" s="3" t="s">
        <v>15</v>
      </c>
      <c r="Y103" s="3">
        <v>2</v>
      </c>
      <c r="Z103" s="2" t="s">
        <v>23</v>
      </c>
      <c r="AQ103" s="55"/>
    </row>
    <row r="104" spans="2:43" ht="15.95" hidden="1" customHeight="1" x14ac:dyDescent="0.2">
      <c r="B104" s="37"/>
      <c r="C104" s="74"/>
      <c r="D104" s="74"/>
      <c r="E104" s="38"/>
      <c r="Q104" s="9" t="s">
        <v>25</v>
      </c>
      <c r="R104" s="3">
        <v>3</v>
      </c>
      <c r="S104" s="3">
        <v>2</v>
      </c>
      <c r="T104" s="9" t="s">
        <v>40</v>
      </c>
      <c r="U104" s="3">
        <v>1</v>
      </c>
      <c r="V104" s="3"/>
      <c r="W104" s="3" t="s">
        <v>92</v>
      </c>
      <c r="Y104" s="3"/>
      <c r="AQ104" s="55"/>
    </row>
    <row r="105" spans="2:43" ht="32.25" hidden="1" customHeight="1" x14ac:dyDescent="0.2">
      <c r="B105" s="80" t="s">
        <v>118</v>
      </c>
      <c r="C105" s="79">
        <f>(+C100-IF(C103&lt;20,20,C103))*2</f>
        <v>7.3333333333333357</v>
      </c>
      <c r="D105" s="83" t="s">
        <v>121</v>
      </c>
      <c r="E105" s="84"/>
      <c r="Q105" s="55" t="s">
        <v>96</v>
      </c>
      <c r="R105" s="56">
        <v>1</v>
      </c>
      <c r="S105" s="56">
        <v>2</v>
      </c>
      <c r="T105" s="9" t="s">
        <v>41</v>
      </c>
      <c r="U105" s="3">
        <v>2</v>
      </c>
      <c r="V105" s="3"/>
      <c r="W105" s="3"/>
      <c r="Y105" s="3"/>
    </row>
    <row r="106" spans="2:43" ht="15.95" hidden="1" customHeight="1" thickBot="1" x14ac:dyDescent="0.3">
      <c r="B106" s="75" t="s">
        <v>119</v>
      </c>
      <c r="C106" s="76">
        <f>+C102</f>
        <v>14</v>
      </c>
      <c r="D106" s="77">
        <f>+D102-C105</f>
        <v>14.666666666666668</v>
      </c>
      <c r="E106" s="78">
        <f>+E102-C105</f>
        <v>0.66666666666666785</v>
      </c>
      <c r="Q106" s="55" t="s">
        <v>97</v>
      </c>
      <c r="R106" s="56">
        <f>IF(C$11="NO",2,1)</f>
        <v>2</v>
      </c>
      <c r="S106" s="56">
        <v>2</v>
      </c>
      <c r="T106" s="9" t="s">
        <v>42</v>
      </c>
      <c r="U106" s="3">
        <v>3</v>
      </c>
      <c r="V106" s="3"/>
      <c r="W106" s="3"/>
      <c r="Y106" s="3"/>
    </row>
    <row r="107" spans="2:43" ht="12.95" hidden="1" customHeight="1" x14ac:dyDescent="0.2">
      <c r="Q107" s="55" t="s">
        <v>98</v>
      </c>
      <c r="R107" s="56">
        <f>IF(C$11="NO",3,2)</f>
        <v>3</v>
      </c>
      <c r="S107" s="56">
        <v>2</v>
      </c>
      <c r="T107" s="10"/>
      <c r="U107" s="56"/>
      <c r="V107" s="56"/>
      <c r="Y107" s="3"/>
    </row>
    <row r="108" spans="2:43" ht="12.95" hidden="1" customHeight="1" x14ac:dyDescent="0.2">
      <c r="Q108" s="55" t="s">
        <v>99</v>
      </c>
      <c r="R108" s="56">
        <f>IF(C$11="NO",4,3)</f>
        <v>4</v>
      </c>
      <c r="S108" s="56">
        <v>2</v>
      </c>
      <c r="T108" s="5" t="s">
        <v>91</v>
      </c>
      <c r="U108" s="5" t="s">
        <v>30</v>
      </c>
      <c r="V108" s="5" t="s">
        <v>55</v>
      </c>
    </row>
    <row r="109" spans="2:43" ht="69" hidden="1" customHeight="1" x14ac:dyDescent="0.2">
      <c r="C109" s="62" t="str">
        <f>IF(OR(D100&gt;26,D101&gt;26),"HORARIO IRREGULAR",IF(E106&lt;0,"Se debería reclamar para que compensen complementarias por pasar de 20 lectivas en 1º y 2º semestre. Artículo 36 Orden 9 oct 2013."," "))</f>
        <v xml:space="preserve"> </v>
      </c>
      <c r="Q109" s="55" t="s">
        <v>100</v>
      </c>
      <c r="R109" s="56">
        <f>IF(C$11="NO",3,2)</f>
        <v>3</v>
      </c>
      <c r="S109" s="56">
        <v>2</v>
      </c>
      <c r="T109" s="9" t="s">
        <v>9</v>
      </c>
      <c r="U109" s="3">
        <v>0</v>
      </c>
      <c r="V109" s="3"/>
    </row>
    <row r="110" spans="2:43" ht="12.95" hidden="1" customHeight="1" x14ac:dyDescent="0.2">
      <c r="C110" s="65"/>
      <c r="Q110" s="55" t="s">
        <v>101</v>
      </c>
      <c r="R110" s="56">
        <f>IF(C$11="NO",4,3)</f>
        <v>4</v>
      </c>
      <c r="S110" s="56">
        <v>2</v>
      </c>
      <c r="T110" s="9" t="s">
        <v>43</v>
      </c>
      <c r="U110" s="3">
        <v>1</v>
      </c>
      <c r="V110" s="3"/>
    </row>
    <row r="111" spans="2:43" ht="12.95" hidden="1" customHeight="1" x14ac:dyDescent="0.2">
      <c r="C111" s="2"/>
      <c r="Q111" s="55" t="s">
        <v>102</v>
      </c>
      <c r="R111" s="56">
        <f>IF(C$11="NO",5,4)</f>
        <v>5</v>
      </c>
      <c r="S111" s="56">
        <v>2</v>
      </c>
      <c r="T111" s="9" t="s">
        <v>44</v>
      </c>
      <c r="U111" s="3">
        <v>2</v>
      </c>
      <c r="V111" s="3"/>
    </row>
    <row r="112" spans="2:43" ht="12.95" customHeight="1" x14ac:dyDescent="0.2">
      <c r="C112" s="2"/>
      <c r="Q112" s="55" t="s">
        <v>103</v>
      </c>
      <c r="R112" s="56">
        <f>IF(C$11="NO",4,3)</f>
        <v>4</v>
      </c>
      <c r="S112" s="56">
        <v>2</v>
      </c>
      <c r="T112" s="9" t="s">
        <v>45</v>
      </c>
      <c r="U112" s="3">
        <v>3</v>
      </c>
      <c r="V112" s="3"/>
    </row>
    <row r="113" spans="3:22" ht="12.95" customHeight="1" x14ac:dyDescent="0.2">
      <c r="C113" s="2"/>
      <c r="Q113" s="55" t="s">
        <v>104</v>
      </c>
      <c r="R113" s="56">
        <f>IF(C$11="NO",5,4)</f>
        <v>5</v>
      </c>
      <c r="S113" s="56">
        <v>2</v>
      </c>
      <c r="T113" s="10" t="s">
        <v>31</v>
      </c>
      <c r="U113" s="3">
        <v>5</v>
      </c>
    </row>
    <row r="114" spans="3:22" ht="12.95" customHeight="1" x14ac:dyDescent="0.2">
      <c r="C114" s="2"/>
      <c r="Q114" s="55" t="s">
        <v>105</v>
      </c>
      <c r="R114" s="56">
        <f>IF(C$11="NO",5,4)</f>
        <v>5</v>
      </c>
      <c r="S114" s="56">
        <v>2</v>
      </c>
      <c r="T114" s="2" t="s">
        <v>54</v>
      </c>
      <c r="U114" s="3">
        <v>2</v>
      </c>
    </row>
    <row r="115" spans="3:22" ht="12.95" customHeight="1" x14ac:dyDescent="0.2">
      <c r="C115" s="2"/>
      <c r="Q115" s="55" t="s">
        <v>106</v>
      </c>
      <c r="R115" s="56">
        <v>3</v>
      </c>
      <c r="S115" s="56"/>
    </row>
    <row r="116" spans="3:22" ht="12.95" customHeight="1" x14ac:dyDescent="0.2">
      <c r="C116" s="2"/>
      <c r="Q116" s="55" t="s">
        <v>107</v>
      </c>
      <c r="R116" s="56">
        <v>3</v>
      </c>
      <c r="S116" s="56"/>
      <c r="T116" s="5" t="s">
        <v>90</v>
      </c>
      <c r="U116" s="5" t="s">
        <v>30</v>
      </c>
      <c r="V116" s="5" t="s">
        <v>55</v>
      </c>
    </row>
    <row r="117" spans="3:22" ht="12.95" customHeight="1" x14ac:dyDescent="0.2">
      <c r="C117" s="2"/>
      <c r="Q117" s="55"/>
      <c r="R117" s="56"/>
      <c r="S117" s="56"/>
      <c r="T117" s="9" t="s">
        <v>9</v>
      </c>
      <c r="U117" s="3">
        <v>0</v>
      </c>
      <c r="V117" s="3"/>
    </row>
    <row r="118" spans="3:22" ht="12.95" customHeight="1" x14ac:dyDescent="0.2">
      <c r="C118" s="2"/>
      <c r="Q118" s="55"/>
      <c r="R118" s="56"/>
      <c r="S118" s="56"/>
      <c r="T118" s="2" t="s">
        <v>46</v>
      </c>
      <c r="U118" s="3">
        <v>1</v>
      </c>
      <c r="V118" s="3"/>
    </row>
    <row r="119" spans="3:22" ht="12.95" customHeight="1" x14ac:dyDescent="0.2">
      <c r="C119" s="2"/>
      <c r="Q119" s="55"/>
      <c r="R119" s="56"/>
      <c r="S119" s="56"/>
      <c r="T119" s="2" t="s">
        <v>47</v>
      </c>
      <c r="U119" s="3">
        <v>2</v>
      </c>
      <c r="V119" s="3"/>
    </row>
    <row r="120" spans="3:22" ht="12.95" customHeight="1" x14ac:dyDescent="0.2">
      <c r="C120" s="2"/>
      <c r="Q120" s="55"/>
      <c r="R120" s="56"/>
      <c r="S120" s="56"/>
      <c r="T120" s="2" t="s">
        <v>48</v>
      </c>
      <c r="U120" s="3">
        <v>3</v>
      </c>
      <c r="V120" s="3"/>
    </row>
    <row r="121" spans="3:22" ht="12.95" customHeight="1" x14ac:dyDescent="0.2">
      <c r="C121" s="2"/>
      <c r="Q121" s="55"/>
      <c r="R121" s="56"/>
      <c r="S121" s="56"/>
      <c r="V121" s="3"/>
    </row>
    <row r="122" spans="3:22" ht="12.95" customHeight="1" x14ac:dyDescent="0.2">
      <c r="C122" s="2"/>
      <c r="Q122" s="55"/>
      <c r="R122" s="56"/>
      <c r="S122" s="56"/>
      <c r="V122" s="3"/>
    </row>
    <row r="123" spans="3:22" ht="12.95" customHeight="1" x14ac:dyDescent="0.2">
      <c r="C123" s="2"/>
      <c r="T123" s="9"/>
      <c r="U123" s="3"/>
      <c r="V123" s="3"/>
    </row>
    <row r="124" spans="3:22" ht="12.95" customHeight="1" x14ac:dyDescent="0.2">
      <c r="C124" s="2"/>
      <c r="Q124" s="5" t="s">
        <v>87</v>
      </c>
      <c r="R124" s="5" t="s">
        <v>30</v>
      </c>
      <c r="S124" s="5" t="s">
        <v>55</v>
      </c>
      <c r="T124" s="5" t="s">
        <v>81</v>
      </c>
      <c r="U124" s="5" t="s">
        <v>30</v>
      </c>
      <c r="V124" s="5" t="s">
        <v>55</v>
      </c>
    </row>
    <row r="125" spans="3:22" ht="12.95" customHeight="1" x14ac:dyDescent="0.2">
      <c r="C125" s="2"/>
      <c r="Q125" s="9" t="s">
        <v>9</v>
      </c>
      <c r="R125" s="3">
        <v>0</v>
      </c>
      <c r="S125" s="3"/>
      <c r="T125" s="9" t="s">
        <v>9</v>
      </c>
      <c r="U125" s="3">
        <v>0</v>
      </c>
      <c r="V125" s="3"/>
    </row>
    <row r="126" spans="3:22" ht="12.95" customHeight="1" x14ac:dyDescent="0.2">
      <c r="C126" s="2"/>
      <c r="Q126" s="10" t="s">
        <v>26</v>
      </c>
      <c r="R126" s="3">
        <v>1</v>
      </c>
      <c r="S126" s="3"/>
      <c r="T126" s="2" t="s">
        <v>49</v>
      </c>
      <c r="U126" s="3">
        <v>1</v>
      </c>
      <c r="V126" s="3">
        <v>1</v>
      </c>
    </row>
    <row r="127" spans="3:22" ht="12.95" customHeight="1" x14ac:dyDescent="0.2">
      <c r="C127" s="2"/>
      <c r="Q127" s="10" t="s">
        <v>27</v>
      </c>
      <c r="R127" s="3">
        <v>1</v>
      </c>
      <c r="S127" s="3"/>
      <c r="T127" s="2" t="s">
        <v>50</v>
      </c>
      <c r="U127" s="3">
        <v>2</v>
      </c>
      <c r="V127" s="3">
        <v>1</v>
      </c>
    </row>
    <row r="128" spans="3:22" ht="12.95" customHeight="1" x14ac:dyDescent="0.2">
      <c r="C128" s="2"/>
      <c r="Q128" s="10" t="s">
        <v>32</v>
      </c>
      <c r="R128" s="56">
        <v>1</v>
      </c>
      <c r="T128" s="2" t="s">
        <v>51</v>
      </c>
      <c r="U128" s="3">
        <v>3</v>
      </c>
      <c r="V128" s="3">
        <v>1</v>
      </c>
    </row>
    <row r="129" spans="3:22" ht="12.95" customHeight="1" x14ac:dyDescent="0.2">
      <c r="C129" s="2"/>
      <c r="Q129" s="10" t="s">
        <v>33</v>
      </c>
      <c r="R129" s="56">
        <v>2</v>
      </c>
      <c r="T129" s="2" t="s">
        <v>52</v>
      </c>
      <c r="U129" s="3">
        <v>4</v>
      </c>
      <c r="V129" s="3">
        <v>1</v>
      </c>
    </row>
    <row r="130" spans="3:22" ht="12.95" customHeight="1" x14ac:dyDescent="0.2">
      <c r="C130" s="2"/>
      <c r="Q130" s="10" t="s">
        <v>34</v>
      </c>
      <c r="R130" s="56">
        <v>3</v>
      </c>
      <c r="T130" s="2" t="s">
        <v>53</v>
      </c>
      <c r="U130" s="3">
        <v>5</v>
      </c>
    </row>
    <row r="131" spans="3:22" ht="12.95" customHeight="1" x14ac:dyDescent="0.2">
      <c r="C131" s="2"/>
      <c r="S131" s="3"/>
    </row>
    <row r="132" spans="3:22" ht="12.95" customHeight="1" x14ac:dyDescent="0.2">
      <c r="C132" s="2"/>
      <c r="Q132" s="5" t="s">
        <v>88</v>
      </c>
      <c r="R132" s="5" t="s">
        <v>30</v>
      </c>
      <c r="S132" s="5" t="s">
        <v>55</v>
      </c>
    </row>
    <row r="133" spans="3:22" ht="12.95" customHeight="1" x14ac:dyDescent="0.2">
      <c r="C133" s="2"/>
      <c r="Q133" s="9" t="s">
        <v>9</v>
      </c>
      <c r="R133" s="3">
        <v>0</v>
      </c>
      <c r="S133" s="3"/>
    </row>
    <row r="134" spans="3:22" ht="12.95" customHeight="1" x14ac:dyDescent="0.2">
      <c r="C134" s="2"/>
      <c r="Q134" s="9" t="s">
        <v>39</v>
      </c>
      <c r="R134" s="3">
        <v>1</v>
      </c>
      <c r="S134" s="3"/>
    </row>
    <row r="135" spans="3:22" ht="12.95" customHeight="1" x14ac:dyDescent="0.2">
      <c r="C135" s="2"/>
      <c r="Q135" s="10" t="s">
        <v>35</v>
      </c>
      <c r="R135" s="56">
        <v>2</v>
      </c>
      <c r="S135" s="3"/>
    </row>
    <row r="136" spans="3:22" ht="12.95" customHeight="1" x14ac:dyDescent="0.2">
      <c r="C136" s="2"/>
      <c r="Q136" s="10" t="s">
        <v>36</v>
      </c>
      <c r="R136" s="56">
        <v>3</v>
      </c>
      <c r="S136" s="3"/>
    </row>
    <row r="137" spans="3:22" ht="12.95" customHeight="1" x14ac:dyDescent="0.2">
      <c r="C137" s="2"/>
      <c r="Q137" s="10" t="s">
        <v>37</v>
      </c>
      <c r="R137" s="56">
        <v>4</v>
      </c>
      <c r="S137" s="3"/>
    </row>
    <row r="138" spans="3:22" ht="12.95" customHeight="1" x14ac:dyDescent="0.2">
      <c r="Q138" s="10" t="s">
        <v>38</v>
      </c>
      <c r="R138" s="3">
        <v>5</v>
      </c>
      <c r="S138" s="3"/>
    </row>
    <row r="139" spans="3:22" ht="12.95" customHeight="1" x14ac:dyDescent="0.2">
      <c r="R139" s="56">
        <v>6</v>
      </c>
    </row>
    <row r="140" spans="3:22" ht="12.95" customHeight="1" x14ac:dyDescent="0.2">
      <c r="R140" s="3">
        <v>7</v>
      </c>
    </row>
    <row r="141" spans="3:22" ht="12.95" customHeight="1" x14ac:dyDescent="0.2">
      <c r="R141" s="56">
        <v>8</v>
      </c>
    </row>
    <row r="142" spans="3:22" ht="12.95" customHeight="1" x14ac:dyDescent="0.2">
      <c r="R142" s="3">
        <v>9</v>
      </c>
    </row>
    <row r="143" spans="3:22" ht="12.95" customHeight="1" x14ac:dyDescent="0.2">
      <c r="R143" s="56">
        <v>10</v>
      </c>
    </row>
    <row r="147" spans="17:18" ht="12.95" customHeight="1" x14ac:dyDescent="0.2">
      <c r="Q147" s="10"/>
      <c r="R147" s="3"/>
    </row>
    <row r="148" spans="17:18" ht="12.95" customHeight="1" x14ac:dyDescent="0.2">
      <c r="Q148" s="10"/>
      <c r="R148" s="3"/>
    </row>
    <row r="149" spans="17:18" ht="12.95" customHeight="1" x14ac:dyDescent="0.2">
      <c r="Q149" s="10"/>
      <c r="R149" s="3"/>
    </row>
    <row r="150" spans="17:18" ht="12.95" customHeight="1" x14ac:dyDescent="0.2">
      <c r="Q150" s="10"/>
      <c r="R150" s="3"/>
    </row>
    <row r="151" spans="17:18" ht="12.95" customHeight="1" x14ac:dyDescent="0.2">
      <c r="Q151" s="9"/>
      <c r="R151" s="3"/>
    </row>
  </sheetData>
  <sheetProtection algorithmName="SHA-512" hashValue="o07g8ICjistHRytKEwFNJHE1Ql6vIxuWN9FWvXoca1iKoTQ4BqILJ3aKAkIT4STfYmoypdqJWn6J+XetFUtZPw==" saltValue="rRBjBIZXP/Yc71xFpCRL2Q==" spinCount="100000" sheet="1" selectLockedCells="1"/>
  <mergeCells count="7">
    <mergeCell ref="D105:E105"/>
    <mergeCell ref="B97:E97"/>
    <mergeCell ref="B3:D3"/>
    <mergeCell ref="B2:D2"/>
    <mergeCell ref="B27:D27"/>
    <mergeCell ref="E76:E93"/>
    <mergeCell ref="D8:D25"/>
  </mergeCells>
  <phoneticPr fontId="1" type="noConversion"/>
  <dataValidations count="11">
    <dataValidation type="list" allowBlank="1" showInputMessage="1" showErrorMessage="1" sqref="C12" xr:uid="{00000000-0002-0000-0000-000005000000}">
      <formula1>$Q$125:$Q$130</formula1>
    </dataValidation>
    <dataValidation type="list" allowBlank="1" showInputMessage="1" showErrorMessage="1" sqref="C13" xr:uid="{00000000-0002-0000-0000-000007000000}">
      <formula1>$Q$133:$Q$138</formula1>
    </dataValidation>
    <dataValidation type="list" allowBlank="1" showInputMessage="1" showErrorMessage="1" sqref="C15" xr:uid="{00000000-0002-0000-0000-000006000000}">
      <formula1>$T$109:$T$114</formula1>
    </dataValidation>
    <dataValidation type="list" allowBlank="1" showInputMessage="1" showErrorMessage="1" sqref="C16" xr:uid="{0ACA1C53-E91E-424C-83A7-06D9AAAE4AA7}">
      <formula1>$T$117:$T$120</formula1>
    </dataValidation>
    <dataValidation type="list" allowBlank="1" showInputMessage="1" showErrorMessage="1" sqref="C17" xr:uid="{9BA3D1EE-A7EA-450C-9099-C8CA3D13FC93}">
      <formula1>$T$125:$T$130</formula1>
    </dataValidation>
    <dataValidation type="list" allowBlank="1" showInputMessage="1" showErrorMessage="1" sqref="C18 C21:C25 C11 C8:C9" xr:uid="{00000000-0002-0000-0000-000000000000}">
      <formula1>$X$101:$X$102</formula1>
    </dataValidation>
    <dataValidation type="list" allowBlank="1" showInputMessage="1" showErrorMessage="1" sqref="C20" xr:uid="{00000000-0002-0000-0000-000001000000}">
      <formula1>$W$101:$W$104</formula1>
    </dataValidation>
    <dataValidation type="list" allowBlank="1" showInputMessage="1" showErrorMessage="1" sqref="C19" xr:uid="{00000000-0002-0000-0000-000002000000}">
      <formula1>$Z$101:$Z$103</formula1>
    </dataValidation>
    <dataValidation type="list" allowBlank="1" showInputMessage="1" showErrorMessage="1" sqref="C10" xr:uid="{00000000-0002-0000-0000-000003000000}">
      <formula1>$Q$101:$Q$114</formula1>
    </dataValidation>
    <dataValidation type="list" allowBlank="1" showInputMessage="1" showErrorMessage="1" sqref="C6" xr:uid="{00000000-0002-0000-0000-000004000000}">
      <formula1>$Y$101:$Y$103</formula1>
    </dataValidation>
    <dataValidation type="list" allowBlank="1" showInputMessage="1" showErrorMessage="1" sqref="C14" xr:uid="{00000000-0002-0000-0000-000008000000}">
      <formula1>$T$101:$T$106</formula1>
    </dataValidation>
  </dataValidations>
  <pageMargins left="0.75" right="0.75" top="1" bottom="1" header="0" footer="0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HorarioSecundaria</vt:lpstr>
    </vt:vector>
  </TitlesOfParts>
  <Company>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Usuario</cp:lastModifiedBy>
  <dcterms:created xsi:type="dcterms:W3CDTF">2005-10-08T15:36:33Z</dcterms:created>
  <dcterms:modified xsi:type="dcterms:W3CDTF">2020-10-06T20:47:59Z</dcterms:modified>
</cp:coreProperties>
</file>