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ucan\Downloads\"/>
    </mc:Choice>
  </mc:AlternateContent>
  <xr:revisionPtr revIDLastSave="0" documentId="13_ncr:1_{FE55112D-0C84-437B-8569-FBEF8DC7D426}" xr6:coauthVersionLast="47" xr6:coauthVersionMax="47" xr10:uidLastSave="{00000000-0000-0000-0000-000000000000}"/>
  <bookViews>
    <workbookView xWindow="-120" yWindow="-120" windowWidth="38640" windowHeight="15840" tabRatio="677" xr2:uid="{00000000-000D-0000-FFFF-FFFF00000000}"/>
    <workbookView visibility="hidden" xWindow="-120" yWindow="-120" windowWidth="38640" windowHeight="15840" firstSheet="6" activeTab="6" xr2:uid="{00000000-000D-0000-FFFF-FFFF01000000}"/>
  </bookViews>
  <sheets>
    <sheet name="Datos" sheetId="29" r:id="rId1"/>
    <sheet name="RESULTADO" sheetId="30" r:id="rId2"/>
    <sheet name="Tiempos de cotización" sheetId="42" r:id="rId3"/>
    <sheet name="DatosIRPF" sheetId="21" state="hidden" r:id="rId4"/>
    <sheet name="Haber Regulador" sheetId="24" r:id="rId5"/>
    <sheet name="IRPFPensión" sheetId="25" state="hidden" r:id="rId6"/>
    <sheet name="Retribuciones" sheetId="31" r:id="rId7"/>
    <sheet name="Normativas" sheetId="26" r:id="rId8"/>
    <sheet name="IRPF A1" sheetId="38" state="hidden" r:id="rId9"/>
    <sheet name="IRPFPensiónMax" sheetId="39" state="hidden" r:id="rId10"/>
    <sheet name="IRPF Maestros" sheetId="32" state="hidden" r:id="rId11"/>
    <sheet name="IRPF 1º y 2ª ESO" sheetId="33" state="hidden" r:id="rId12"/>
    <sheet name="IRPF TecnFP" sheetId="34" state="hidden" r:id="rId13"/>
    <sheet name="IRPF Secund" sheetId="35" state="hidden" r:id="rId14"/>
    <sheet name="IRPF Catred" sheetId="36" state="hidden" r:id="rId15"/>
    <sheet name="IRPF Inspect" sheetId="37" state="hidden" r:id="rId16"/>
    <sheet name="deducciones" sheetId="40" state="hidden" r:id="rId17"/>
    <sheet name="Importe" sheetId="41" state="hidden" r:id="rId18"/>
    <sheet name="Cálculo sencillo" sheetId="43" r:id="rId19"/>
    <sheet name="Hoja2" sheetId="44" r:id="rId20"/>
  </sheets>
  <externalReferences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" i="31" l="1"/>
  <c r="J49" i="29" l="1"/>
  <c r="P52" i="31"/>
  <c r="P51" i="31"/>
  <c r="P50" i="31"/>
  <c r="K48" i="31"/>
  <c r="L48" i="31" s="1"/>
  <c r="M48" i="31" s="1"/>
  <c r="E48" i="31"/>
  <c r="F48" i="31" s="1"/>
  <c r="G48" i="31" s="1"/>
  <c r="H48" i="31" s="1"/>
  <c r="I48" i="31" s="1"/>
  <c r="K47" i="31"/>
  <c r="L47" i="31" s="1"/>
  <c r="M47" i="31" s="1"/>
  <c r="J47" i="31"/>
  <c r="E47" i="31"/>
  <c r="F47" i="31" s="1"/>
  <c r="G47" i="31" s="1"/>
  <c r="H47" i="31" s="1"/>
  <c r="I47" i="31" s="1"/>
  <c r="D47" i="31"/>
  <c r="J46" i="31"/>
  <c r="X10" i="31" s="1"/>
  <c r="F46" i="31"/>
  <c r="G46" i="31" s="1"/>
  <c r="H46" i="31" s="1"/>
  <c r="I46" i="31" s="1"/>
  <c r="E46" i="31"/>
  <c r="D46" i="31"/>
  <c r="J45" i="31"/>
  <c r="K45" i="31" s="1"/>
  <c r="L45" i="31" s="1"/>
  <c r="M45" i="31" s="1"/>
  <c r="G45" i="31"/>
  <c r="H45" i="31" s="1"/>
  <c r="I45" i="31" s="1"/>
  <c r="F45" i="31"/>
  <c r="E45" i="31"/>
  <c r="D45" i="31"/>
  <c r="P44" i="31"/>
  <c r="J44" i="31"/>
  <c r="V10" i="31" s="1"/>
  <c r="V11" i="31" s="1"/>
  <c r="V12" i="31" s="1"/>
  <c r="V13" i="31" s="1"/>
  <c r="F44" i="31"/>
  <c r="G44" i="31" s="1"/>
  <c r="H44" i="31" s="1"/>
  <c r="I44" i="31" s="1"/>
  <c r="E44" i="31"/>
  <c r="D44" i="31"/>
  <c r="D43" i="31"/>
  <c r="E43" i="31" s="1"/>
  <c r="F43" i="31" s="1"/>
  <c r="G43" i="31" s="1"/>
  <c r="H43" i="31" s="1"/>
  <c r="I43" i="31" s="1"/>
  <c r="J43" i="31" s="1"/>
  <c r="K43" i="31" s="1"/>
  <c r="L43" i="31" s="1"/>
  <c r="M43" i="31" s="1"/>
  <c r="E42" i="31"/>
  <c r="F42" i="31" s="1"/>
  <c r="G42" i="31" s="1"/>
  <c r="H42" i="31" s="1"/>
  <c r="I42" i="31" s="1"/>
  <c r="J42" i="31" s="1"/>
  <c r="K42" i="31" s="1"/>
  <c r="L42" i="31" s="1"/>
  <c r="M42" i="31" s="1"/>
  <c r="D41" i="31"/>
  <c r="E41" i="31" s="1"/>
  <c r="F41" i="31" s="1"/>
  <c r="G41" i="31" s="1"/>
  <c r="H41" i="31" s="1"/>
  <c r="I41" i="31" s="1"/>
  <c r="J41" i="31" s="1"/>
  <c r="K41" i="31" s="1"/>
  <c r="L41" i="31" s="1"/>
  <c r="M41" i="31" s="1"/>
  <c r="F40" i="31"/>
  <c r="G40" i="31" s="1"/>
  <c r="H40" i="31" s="1"/>
  <c r="I40" i="31" s="1"/>
  <c r="J40" i="31" s="1"/>
  <c r="K40" i="31" s="1"/>
  <c r="L40" i="31" s="1"/>
  <c r="M40" i="31" s="1"/>
  <c r="E40" i="31"/>
  <c r="E39" i="31"/>
  <c r="F39" i="31" s="1"/>
  <c r="D39" i="31"/>
  <c r="E38" i="31"/>
  <c r="F38" i="31" s="1"/>
  <c r="D37" i="31"/>
  <c r="O4" i="31" s="1"/>
  <c r="O5" i="31" s="1"/>
  <c r="O6" i="31" s="1"/>
  <c r="O7" i="31" s="1"/>
  <c r="O8" i="31" s="1"/>
  <c r="O9" i="31" s="1"/>
  <c r="O10" i="31" s="1"/>
  <c r="O11" i="31" s="1"/>
  <c r="O12" i="31" s="1"/>
  <c r="O13" i="31" s="1"/>
  <c r="F36" i="31"/>
  <c r="G36" i="31" s="1"/>
  <c r="H36" i="31" s="1"/>
  <c r="I36" i="31" s="1"/>
  <c r="J36" i="31" s="1"/>
  <c r="K36" i="31" s="1"/>
  <c r="L36" i="31" s="1"/>
  <c r="M36" i="31" s="1"/>
  <c r="E36" i="31"/>
  <c r="E35" i="31"/>
  <c r="F35" i="31" s="1"/>
  <c r="D35" i="31"/>
  <c r="E34" i="31"/>
  <c r="F34" i="31" s="1"/>
  <c r="J33" i="31"/>
  <c r="D33" i="31"/>
  <c r="M32" i="31"/>
  <c r="M33" i="31" s="1"/>
  <c r="L32" i="31"/>
  <c r="L33" i="31" s="1"/>
  <c r="K32" i="31"/>
  <c r="K33" i="31" s="1"/>
  <c r="J32" i="31"/>
  <c r="F32" i="31"/>
  <c r="J6" i="31" s="1"/>
  <c r="E32" i="31"/>
  <c r="E33" i="31" s="1"/>
  <c r="D32" i="31"/>
  <c r="L31" i="31"/>
  <c r="F31" i="31"/>
  <c r="E31" i="31"/>
  <c r="D31" i="31"/>
  <c r="M30" i="31"/>
  <c r="M31" i="31" s="1"/>
  <c r="L30" i="31"/>
  <c r="H30" i="31"/>
  <c r="I30" i="31" s="1"/>
  <c r="G30" i="31"/>
  <c r="G31" i="31" s="1"/>
  <c r="F30" i="31"/>
  <c r="E30" i="31"/>
  <c r="D30" i="31"/>
  <c r="K29" i="31"/>
  <c r="L29" i="31" s="1"/>
  <c r="M29" i="31" s="1"/>
  <c r="E29" i="31"/>
  <c r="F29" i="31" s="1"/>
  <c r="J28" i="31"/>
  <c r="K28" i="31" s="1"/>
  <c r="L28" i="31" s="1"/>
  <c r="M28" i="31" s="1"/>
  <c r="E28" i="31"/>
  <c r="F28" i="31" s="1"/>
  <c r="G28" i="31" s="1"/>
  <c r="H28" i="31" s="1"/>
  <c r="I28" i="31" s="1"/>
  <c r="D28" i="31"/>
  <c r="L27" i="31"/>
  <c r="M27" i="31" s="1"/>
  <c r="K27" i="31"/>
  <c r="E27" i="31"/>
  <c r="F27" i="31" s="1"/>
  <c r="J26" i="31"/>
  <c r="K26" i="31" s="1"/>
  <c r="L26" i="31" s="1"/>
  <c r="M26" i="31" s="1"/>
  <c r="F26" i="31"/>
  <c r="G26" i="31" s="1"/>
  <c r="H26" i="31" s="1"/>
  <c r="I26" i="31" s="1"/>
  <c r="E26" i="31"/>
  <c r="D26" i="31"/>
  <c r="P25" i="31"/>
  <c r="P23" i="31"/>
  <c r="P45" i="31" s="1"/>
  <c r="P22" i="31"/>
  <c r="AD19" i="31"/>
  <c r="AA19" i="31"/>
  <c r="AA18" i="31"/>
  <c r="AD17" i="31"/>
  <c r="AA17" i="31" s="1"/>
  <c r="AD16" i="31"/>
  <c r="AA16" i="31" s="1"/>
  <c r="AD15" i="31"/>
  <c r="AA15" i="31" s="1"/>
  <c r="AD14" i="31"/>
  <c r="AA14" i="31" s="1"/>
  <c r="AA13" i="31"/>
  <c r="AB13" i="31" s="1"/>
  <c r="K13" i="31"/>
  <c r="AA12" i="31"/>
  <c r="AB12" i="31" s="1"/>
  <c r="J12" i="31"/>
  <c r="K12" i="31" s="1"/>
  <c r="H12" i="31"/>
  <c r="H13" i="31" s="1"/>
  <c r="I13" i="31" s="1"/>
  <c r="AA11" i="31"/>
  <c r="AB11" i="31" s="1"/>
  <c r="AD10" i="31"/>
  <c r="AD11" i="31" s="1"/>
  <c r="AD12" i="31" s="1"/>
  <c r="AD13" i="31" s="1"/>
  <c r="AA10" i="31"/>
  <c r="AB10" i="31" s="1"/>
  <c r="Z10" i="31"/>
  <c r="Z11" i="31" s="1"/>
  <c r="Z12" i="31" s="1"/>
  <c r="Z13" i="31" s="1"/>
  <c r="Y10" i="31"/>
  <c r="Y11" i="31" s="1"/>
  <c r="Y12" i="31" s="1"/>
  <c r="Y13" i="31" s="1"/>
  <c r="W10" i="31"/>
  <c r="W11" i="31" s="1"/>
  <c r="W12" i="31" s="1"/>
  <c r="W13" i="31" s="1"/>
  <c r="J10" i="31"/>
  <c r="K10" i="31" s="1"/>
  <c r="G10" i="31"/>
  <c r="G11" i="31" s="1"/>
  <c r="G12" i="31" s="1"/>
  <c r="G13" i="31" s="1"/>
  <c r="E10" i="31"/>
  <c r="E11" i="31" s="1"/>
  <c r="AA9" i="31"/>
  <c r="AB9" i="31" s="1"/>
  <c r="AB8" i="31"/>
  <c r="AA8" i="31"/>
  <c r="AA7" i="31"/>
  <c r="AB7" i="31" s="1"/>
  <c r="AA6" i="31"/>
  <c r="AB6" i="31" s="1"/>
  <c r="X6" i="31"/>
  <c r="X7" i="31" s="1"/>
  <c r="X8" i="31" s="1"/>
  <c r="X9" i="31" s="1"/>
  <c r="W6" i="31"/>
  <c r="W7" i="31" s="1"/>
  <c r="W8" i="31" s="1"/>
  <c r="W9" i="31" s="1"/>
  <c r="V6" i="31"/>
  <c r="V7" i="31" s="1"/>
  <c r="V8" i="31" s="1"/>
  <c r="V9" i="31" s="1"/>
  <c r="H6" i="31"/>
  <c r="I6" i="31" s="1"/>
  <c r="AB5" i="31"/>
  <c r="AA5" i="31"/>
  <c r="X5" i="31"/>
  <c r="W5" i="31"/>
  <c r="V5" i="31"/>
  <c r="J5" i="31"/>
  <c r="K5" i="31" s="1"/>
  <c r="AE5" i="31"/>
  <c r="AE6" i="31" s="1"/>
  <c r="AE7" i="31" s="1"/>
  <c r="AE8" i="31" s="1"/>
  <c r="AE9" i="31" s="1"/>
  <c r="AE10" i="31" s="1"/>
  <c r="AE11" i="31" s="1"/>
  <c r="AE12" i="31" s="1"/>
  <c r="AE13" i="31" s="1"/>
  <c r="AE14" i="31" s="1"/>
  <c r="AE15" i="31" s="1"/>
  <c r="AE16" i="31" s="1"/>
  <c r="AE17" i="31" s="1"/>
  <c r="AE18" i="31" s="1"/>
  <c r="AE19" i="31" s="1"/>
  <c r="AD4" i="31"/>
  <c r="AD5" i="31" s="1"/>
  <c r="AD6" i="31" s="1"/>
  <c r="AD7" i="31" s="1"/>
  <c r="AD8" i="31" s="1"/>
  <c r="AD9" i="31" s="1"/>
  <c r="AC4" i="31"/>
  <c r="AC5" i="31" s="1"/>
  <c r="AC6" i="31" s="1"/>
  <c r="AC7" i="31" s="1"/>
  <c r="AC8" i="31" s="1"/>
  <c r="AC9" i="31" s="1"/>
  <c r="AC10" i="31" s="1"/>
  <c r="AC11" i="31" s="1"/>
  <c r="AC12" i="31" s="1"/>
  <c r="AC13" i="31" s="1"/>
  <c r="AA4" i="31"/>
  <c r="AB4" i="31" s="1"/>
  <c r="Z4" i="31"/>
  <c r="Z5" i="31" s="1"/>
  <c r="Z6" i="31" s="1"/>
  <c r="Z7" i="31" s="1"/>
  <c r="Z8" i="31" s="1"/>
  <c r="Z9" i="31" s="1"/>
  <c r="Y4" i="31"/>
  <c r="Y5" i="31" s="1"/>
  <c r="Y6" i="31" s="1"/>
  <c r="Y7" i="31" s="1"/>
  <c r="Y8" i="31" s="1"/>
  <c r="Y9" i="31" s="1"/>
  <c r="X4" i="31"/>
  <c r="X18" i="31" s="1"/>
  <c r="W4" i="31"/>
  <c r="V4" i="31"/>
  <c r="U4" i="31"/>
  <c r="U5" i="31" s="1"/>
  <c r="U6" i="31" s="1"/>
  <c r="U7" i="31" s="1"/>
  <c r="U8" i="31" s="1"/>
  <c r="U9" i="31" s="1"/>
  <c r="U10" i="31" s="1"/>
  <c r="U11" i="31" s="1"/>
  <c r="U12" i="31" s="1"/>
  <c r="U13" i="31" s="1"/>
  <c r="T4" i="31"/>
  <c r="T5" i="31" s="1"/>
  <c r="T6" i="31" s="1"/>
  <c r="T7" i="31" s="1"/>
  <c r="T8" i="31" s="1"/>
  <c r="T9" i="31" s="1"/>
  <c r="T10" i="31" s="1"/>
  <c r="T11" i="31" s="1"/>
  <c r="T12" i="31" s="1"/>
  <c r="T13" i="31" s="1"/>
  <c r="R4" i="31"/>
  <c r="R5" i="31" s="1"/>
  <c r="R6" i="31" s="1"/>
  <c r="R7" i="31" s="1"/>
  <c r="R8" i="31" s="1"/>
  <c r="R9" i="31" s="1"/>
  <c r="R10" i="31" s="1"/>
  <c r="R11" i="31" s="1"/>
  <c r="R12" i="31" s="1"/>
  <c r="R13" i="31" s="1"/>
  <c r="Q4" i="31"/>
  <c r="Q5" i="31" s="1"/>
  <c r="Q6" i="31" s="1"/>
  <c r="Q7" i="31" s="1"/>
  <c r="Q8" i="31" s="1"/>
  <c r="Q9" i="31" s="1"/>
  <c r="Q10" i="31" s="1"/>
  <c r="Q11" i="31" s="1"/>
  <c r="Q12" i="31" s="1"/>
  <c r="Q13" i="31" s="1"/>
  <c r="P4" i="31"/>
  <c r="P5" i="31" s="1"/>
  <c r="P6" i="31" s="1"/>
  <c r="P7" i="31" s="1"/>
  <c r="P8" i="31" s="1"/>
  <c r="P9" i="31" s="1"/>
  <c r="P10" i="31" s="1"/>
  <c r="P11" i="31" s="1"/>
  <c r="P12" i="31" s="1"/>
  <c r="P13" i="31" s="1"/>
  <c r="N4" i="31"/>
  <c r="N5" i="31" s="1"/>
  <c r="N6" i="31" s="1"/>
  <c r="N7" i="31" s="1"/>
  <c r="N8" i="31" s="1"/>
  <c r="N9" i="31" s="1"/>
  <c r="N10" i="31" s="1"/>
  <c r="N11" i="31" s="1"/>
  <c r="N12" i="31" s="1"/>
  <c r="N13" i="31" s="1"/>
  <c r="M4" i="31"/>
  <c r="M5" i="31" s="1"/>
  <c r="M6" i="31" s="1"/>
  <c r="M7" i="31" s="1"/>
  <c r="M8" i="31" s="1"/>
  <c r="M9" i="31" s="1"/>
  <c r="M10" i="31" s="1"/>
  <c r="M11" i="31" s="1"/>
  <c r="M12" i="31" s="1"/>
  <c r="M13" i="31" s="1"/>
  <c r="L4" i="31"/>
  <c r="L5" i="31" s="1"/>
  <c r="L6" i="31" s="1"/>
  <c r="L7" i="31" s="1"/>
  <c r="L8" i="31" s="1"/>
  <c r="L9" i="31" s="1"/>
  <c r="L10" i="31" s="1"/>
  <c r="L11" i="31" s="1"/>
  <c r="L12" i="31" s="1"/>
  <c r="L13" i="31" s="1"/>
  <c r="K4" i="31"/>
  <c r="J4" i="31"/>
  <c r="H4" i="31"/>
  <c r="I4" i="31" s="1"/>
  <c r="G4" i="31"/>
  <c r="G5" i="31" s="1"/>
  <c r="G6" i="31" s="1"/>
  <c r="G7" i="31" s="1"/>
  <c r="G8" i="31" s="1"/>
  <c r="G9" i="31" s="1"/>
  <c r="F4" i="31"/>
  <c r="F18" i="31" s="1"/>
  <c r="E4" i="31"/>
  <c r="E5" i="31" s="1"/>
  <c r="E6" i="31" s="1"/>
  <c r="D4" i="31"/>
  <c r="D5" i="31" s="1"/>
  <c r="P57" i="31" l="1"/>
  <c r="H5" i="31"/>
  <c r="I5" i="31" s="1"/>
  <c r="H7" i="31"/>
  <c r="I7" i="31" s="1"/>
  <c r="S4" i="31"/>
  <c r="S5" i="31" s="1"/>
  <c r="S6" i="31" s="1"/>
  <c r="S7" i="31" s="1"/>
  <c r="S8" i="31" s="1"/>
  <c r="S9" i="31" s="1"/>
  <c r="S10" i="31" s="1"/>
  <c r="S11" i="31" s="1"/>
  <c r="S12" i="31" s="1"/>
  <c r="S13" i="31" s="1"/>
  <c r="I12" i="31"/>
  <c r="J30" i="31"/>
  <c r="I31" i="31"/>
  <c r="D6" i="31"/>
  <c r="P39" i="31"/>
  <c r="G39" i="31"/>
  <c r="H39" i="31" s="1"/>
  <c r="I39" i="31" s="1"/>
  <c r="J39" i="31" s="1"/>
  <c r="K39" i="31" s="1"/>
  <c r="L39" i="31" s="1"/>
  <c r="M39" i="31" s="1"/>
  <c r="P27" i="31"/>
  <c r="G27" i="31"/>
  <c r="H27" i="31" s="1"/>
  <c r="I27" i="31" s="1"/>
  <c r="E12" i="31"/>
  <c r="G38" i="31"/>
  <c r="H38" i="31" s="1"/>
  <c r="I38" i="31" s="1"/>
  <c r="J38" i="31" s="1"/>
  <c r="K38" i="31" s="1"/>
  <c r="L38" i="31" s="1"/>
  <c r="M38" i="31" s="1"/>
  <c r="P38" i="31"/>
  <c r="X11" i="31"/>
  <c r="X12" i="31" s="1"/>
  <c r="X13" i="31" s="1"/>
  <c r="X19" i="31"/>
  <c r="K6" i="31"/>
  <c r="J7" i="31"/>
  <c r="E7" i="31"/>
  <c r="P29" i="31"/>
  <c r="G29" i="31"/>
  <c r="H29" i="31" s="1"/>
  <c r="I29" i="31" s="1"/>
  <c r="G34" i="31"/>
  <c r="H34" i="31" s="1"/>
  <c r="I34" i="31" s="1"/>
  <c r="J34" i="31" s="1"/>
  <c r="K34" i="31" s="1"/>
  <c r="L34" i="31" s="1"/>
  <c r="M34" i="31" s="1"/>
  <c r="P34" i="31"/>
  <c r="P35" i="31"/>
  <c r="G35" i="31"/>
  <c r="H35" i="31" s="1"/>
  <c r="I35" i="31" s="1"/>
  <c r="J35" i="31" s="1"/>
  <c r="K35" i="31" s="1"/>
  <c r="L35" i="31" s="1"/>
  <c r="M35" i="31" s="1"/>
  <c r="P32" i="31"/>
  <c r="P47" i="31"/>
  <c r="AH5" i="31"/>
  <c r="P36" i="31"/>
  <c r="AH4" i="31"/>
  <c r="F33" i="31"/>
  <c r="P33" i="31" s="1"/>
  <c r="H31" i="31"/>
  <c r="E37" i="31"/>
  <c r="F37" i="31" s="1"/>
  <c r="G37" i="31" s="1"/>
  <c r="H37" i="31" s="1"/>
  <c r="I37" i="31" s="1"/>
  <c r="J37" i="31" s="1"/>
  <c r="K37" i="31" s="1"/>
  <c r="L37" i="31" s="1"/>
  <c r="M37" i="31" s="1"/>
  <c r="P40" i="31"/>
  <c r="K44" i="31"/>
  <c r="L44" i="31" s="1"/>
  <c r="M44" i="31" s="1"/>
  <c r="P42" i="31"/>
  <c r="P24" i="31"/>
  <c r="K46" i="31"/>
  <c r="L46" i="31" s="1"/>
  <c r="M46" i="31" s="1"/>
  <c r="D10" i="31"/>
  <c r="P31" i="31"/>
  <c r="P46" i="31"/>
  <c r="P48" i="31"/>
  <c r="F10" i="31"/>
  <c r="J11" i="31"/>
  <c r="K11" i="31" s="1"/>
  <c r="G32" i="31"/>
  <c r="P37" i="31"/>
  <c r="F5" i="31"/>
  <c r="F6" i="31" s="1"/>
  <c r="F7" i="31" s="1"/>
  <c r="F8" i="31" s="1"/>
  <c r="F9" i="31" s="1"/>
  <c r="P41" i="31"/>
  <c r="P43" i="31"/>
  <c r="P26" i="31"/>
  <c r="P28" i="31"/>
  <c r="P30" i="31"/>
  <c r="H8" i="31" l="1"/>
  <c r="AH6" i="31"/>
  <c r="K7" i="31"/>
  <c r="AH7" i="31" s="1"/>
  <c r="J8" i="31"/>
  <c r="P55" i="31"/>
  <c r="P54" i="31"/>
  <c r="E8" i="31"/>
  <c r="AH12" i="31"/>
  <c r="E13" i="31"/>
  <c r="AH13" i="31" s="1"/>
  <c r="H32" i="31"/>
  <c r="G33" i="31"/>
  <c r="P56" i="31"/>
  <c r="D7" i="31"/>
  <c r="F11" i="31"/>
  <c r="F12" i="31" s="1"/>
  <c r="F13" i="31" s="1"/>
  <c r="F19" i="31"/>
  <c r="D11" i="31"/>
  <c r="K30" i="31"/>
  <c r="K31" i="31" s="1"/>
  <c r="J31" i="31"/>
  <c r="I8" i="31" l="1"/>
  <c r="H9" i="31"/>
  <c r="AR4" i="31"/>
  <c r="AR5" i="31"/>
  <c r="AG4" i="31"/>
  <c r="AG5" i="31"/>
  <c r="AR6" i="31"/>
  <c r="AG6" i="31"/>
  <c r="D8" i="31"/>
  <c r="AR7" i="31"/>
  <c r="AG7" i="31"/>
  <c r="I32" i="31"/>
  <c r="I33" i="31" s="1"/>
  <c r="H33" i="31"/>
  <c r="E9" i="31"/>
  <c r="P58" i="31"/>
  <c r="Q55" i="31"/>
  <c r="AR10" i="31"/>
  <c r="J9" i="31"/>
  <c r="K9" i="31" s="1"/>
  <c r="K8" i="31"/>
  <c r="AH8" i="31" s="1"/>
  <c r="D12" i="31"/>
  <c r="AR11" i="31"/>
  <c r="H10" i="31" l="1"/>
  <c r="I9" i="31"/>
  <c r="AH9" i="31"/>
  <c r="AG8" i="31"/>
  <c r="D9" i="31"/>
  <c r="AR8" i="31"/>
  <c r="AI5" i="31"/>
  <c r="AG12" i="31"/>
  <c r="D13" i="31"/>
  <c r="AR12" i="31"/>
  <c r="AI7" i="31"/>
  <c r="AI6" i="31"/>
  <c r="AI4" i="31"/>
  <c r="AG10" i="31" l="1"/>
  <c r="I10" i="31"/>
  <c r="AH10" i="31" s="1"/>
  <c r="H11" i="31"/>
  <c r="AI12" i="31"/>
  <c r="AR9" i="31"/>
  <c r="AG9" i="31"/>
  <c r="AG13" i="31"/>
  <c r="AR13" i="31"/>
  <c r="AI8" i="31"/>
  <c r="AI10" i="31" l="1"/>
  <c r="I11" i="31"/>
  <c r="AH11" i="31" s="1"/>
  <c r="AG11" i="31"/>
  <c r="AI11" i="31" s="1"/>
  <c r="AI13" i="31"/>
  <c r="AI9" i="31"/>
  <c r="I44" i="24" l="1"/>
  <c r="T41" i="24"/>
  <c r="U41" i="24" s="1"/>
  <c r="Q41" i="24"/>
  <c r="R41" i="24" s="1"/>
  <c r="N41" i="24"/>
  <c r="O41" i="24" s="1"/>
  <c r="K41" i="24"/>
  <c r="L41" i="24" s="1"/>
  <c r="H41" i="24"/>
  <c r="I41" i="24" s="1"/>
  <c r="E41" i="24"/>
  <c r="F41" i="24" s="1"/>
  <c r="U40" i="24"/>
  <c r="T40" i="24"/>
  <c r="Q40" i="24"/>
  <c r="R40" i="24" s="1"/>
  <c r="N40" i="24"/>
  <c r="O40" i="24" s="1"/>
  <c r="K40" i="24"/>
  <c r="L40" i="24" s="1"/>
  <c r="H40" i="24"/>
  <c r="I40" i="24" s="1"/>
  <c r="E40" i="24"/>
  <c r="F40" i="24" s="1"/>
  <c r="T39" i="24"/>
  <c r="U39" i="24" s="1"/>
  <c r="Q39" i="24"/>
  <c r="R39" i="24" s="1"/>
  <c r="N39" i="24"/>
  <c r="O39" i="24" s="1"/>
  <c r="K39" i="24"/>
  <c r="L39" i="24" s="1"/>
  <c r="I39" i="24"/>
  <c r="H39" i="24"/>
  <c r="E39" i="24"/>
  <c r="F39" i="24" s="1"/>
  <c r="T38" i="24"/>
  <c r="U38" i="24" s="1"/>
  <c r="R38" i="24"/>
  <c r="Q38" i="24"/>
  <c r="N38" i="24"/>
  <c r="O38" i="24" s="1"/>
  <c r="K38" i="24"/>
  <c r="L38" i="24" s="1"/>
  <c r="H38" i="24"/>
  <c r="I38" i="24" s="1"/>
  <c r="E38" i="24"/>
  <c r="F38" i="24" s="1"/>
  <c r="T37" i="24"/>
  <c r="U37" i="24" s="1"/>
  <c r="Q37" i="24"/>
  <c r="R37" i="24" s="1"/>
  <c r="N37" i="24"/>
  <c r="O37" i="24" s="1"/>
  <c r="K37" i="24"/>
  <c r="L37" i="24" s="1"/>
  <c r="H37" i="24"/>
  <c r="I37" i="24" s="1"/>
  <c r="E37" i="24"/>
  <c r="F37" i="24" s="1"/>
  <c r="T36" i="24"/>
  <c r="U36" i="24" s="1"/>
  <c r="Q36" i="24"/>
  <c r="R36" i="24" s="1"/>
  <c r="N36" i="24"/>
  <c r="O36" i="24" s="1"/>
  <c r="K36" i="24"/>
  <c r="L36" i="24" s="1"/>
  <c r="H36" i="24"/>
  <c r="I36" i="24" s="1"/>
  <c r="E36" i="24"/>
  <c r="F36" i="24" s="1"/>
  <c r="T35" i="24"/>
  <c r="U35" i="24" s="1"/>
  <c r="Q35" i="24"/>
  <c r="R35" i="24" s="1"/>
  <c r="N35" i="24"/>
  <c r="O35" i="24" s="1"/>
  <c r="K35" i="24"/>
  <c r="L35" i="24" s="1"/>
  <c r="H35" i="24"/>
  <c r="I35" i="24" s="1"/>
  <c r="E35" i="24"/>
  <c r="F35" i="24" s="1"/>
  <c r="T34" i="24"/>
  <c r="U34" i="24" s="1"/>
  <c r="Q34" i="24"/>
  <c r="R34" i="24" s="1"/>
  <c r="N34" i="24"/>
  <c r="O34" i="24" s="1"/>
  <c r="K34" i="24"/>
  <c r="L34" i="24" s="1"/>
  <c r="I34" i="24"/>
  <c r="H34" i="24"/>
  <c r="F34" i="24"/>
  <c r="E34" i="24"/>
  <c r="T33" i="24"/>
  <c r="U33" i="24" s="1"/>
  <c r="Q33" i="24"/>
  <c r="R33" i="24" s="1"/>
  <c r="N33" i="24"/>
  <c r="O33" i="24" s="1"/>
  <c r="K33" i="24"/>
  <c r="L33" i="24" s="1"/>
  <c r="H33" i="24"/>
  <c r="I33" i="24" s="1"/>
  <c r="E33" i="24"/>
  <c r="F33" i="24" s="1"/>
  <c r="T32" i="24"/>
  <c r="U32" i="24" s="1"/>
  <c r="Q32" i="24"/>
  <c r="R32" i="24" s="1"/>
  <c r="O32" i="24"/>
  <c r="N32" i="24"/>
  <c r="K32" i="24"/>
  <c r="L32" i="24" s="1"/>
  <c r="H32" i="24"/>
  <c r="I32" i="24" s="1"/>
  <c r="F32" i="24"/>
  <c r="E32" i="24"/>
  <c r="T31" i="24"/>
  <c r="U31" i="24" s="1"/>
  <c r="Q31" i="24"/>
  <c r="R31" i="24" s="1"/>
  <c r="N31" i="24"/>
  <c r="O31" i="24" s="1"/>
  <c r="K31" i="24"/>
  <c r="L31" i="24" s="1"/>
  <c r="H31" i="24"/>
  <c r="I31" i="24" s="1"/>
  <c r="E31" i="24"/>
  <c r="F31" i="24" s="1"/>
  <c r="T30" i="24"/>
  <c r="U30" i="24" s="1"/>
  <c r="Q30" i="24"/>
  <c r="R30" i="24" s="1"/>
  <c r="N30" i="24"/>
  <c r="O30" i="24" s="1"/>
  <c r="K30" i="24"/>
  <c r="L30" i="24" s="1"/>
  <c r="H30" i="24"/>
  <c r="I30" i="24" s="1"/>
  <c r="E30" i="24"/>
  <c r="F30" i="24" s="1"/>
  <c r="T29" i="24"/>
  <c r="U29" i="24" s="1"/>
  <c r="Q29" i="24"/>
  <c r="R29" i="24" s="1"/>
  <c r="N29" i="24"/>
  <c r="O29" i="24" s="1"/>
  <c r="K29" i="24"/>
  <c r="L29" i="24" s="1"/>
  <c r="I29" i="24"/>
  <c r="H29" i="24"/>
  <c r="E29" i="24"/>
  <c r="F29" i="24" s="1"/>
  <c r="T28" i="24"/>
  <c r="U28" i="24" s="1"/>
  <c r="R28" i="24"/>
  <c r="Q28" i="24"/>
  <c r="N28" i="24"/>
  <c r="O28" i="24" s="1"/>
  <c r="K28" i="24"/>
  <c r="L28" i="24" s="1"/>
  <c r="H28" i="24"/>
  <c r="I28" i="24" s="1"/>
  <c r="E28" i="24"/>
  <c r="F28" i="24" s="1"/>
  <c r="T27" i="24"/>
  <c r="U27" i="24" s="1"/>
  <c r="Q27" i="24"/>
  <c r="R27" i="24" s="1"/>
  <c r="N27" i="24"/>
  <c r="O27" i="24" s="1"/>
  <c r="K27" i="24"/>
  <c r="L27" i="24" s="1"/>
  <c r="H27" i="24"/>
  <c r="I27" i="24" s="1"/>
  <c r="F27" i="24"/>
  <c r="E27" i="24"/>
  <c r="T26" i="24"/>
  <c r="U26" i="24" s="1"/>
  <c r="Q26" i="24"/>
  <c r="R26" i="24" s="1"/>
  <c r="N26" i="24"/>
  <c r="O26" i="24" s="1"/>
  <c r="K26" i="24"/>
  <c r="L26" i="24" s="1"/>
  <c r="H26" i="24"/>
  <c r="I26" i="24" s="1"/>
  <c r="E26" i="24"/>
  <c r="F26" i="24" s="1"/>
  <c r="U25" i="24"/>
  <c r="T25" i="24"/>
  <c r="Q25" i="24"/>
  <c r="R25" i="24" s="1"/>
  <c r="N25" i="24"/>
  <c r="O25" i="24" s="1"/>
  <c r="K25" i="24"/>
  <c r="L25" i="24" s="1"/>
  <c r="H25" i="24"/>
  <c r="I25" i="24" s="1"/>
  <c r="E25" i="24"/>
  <c r="F25" i="24" s="1"/>
  <c r="T24" i="24"/>
  <c r="U24" i="24" s="1"/>
  <c r="Q24" i="24"/>
  <c r="R24" i="24" s="1"/>
  <c r="N24" i="24"/>
  <c r="O24" i="24" s="1"/>
  <c r="K24" i="24"/>
  <c r="L24" i="24" s="1"/>
  <c r="I24" i="24"/>
  <c r="H24" i="24"/>
  <c r="E24" i="24"/>
  <c r="F24" i="24" s="1"/>
  <c r="T23" i="24"/>
  <c r="U23" i="24" s="1"/>
  <c r="Q23" i="24"/>
  <c r="R23" i="24" s="1"/>
  <c r="N23" i="24"/>
  <c r="O23" i="24" s="1"/>
  <c r="K23" i="24"/>
  <c r="L23" i="24" s="1"/>
  <c r="H23" i="24"/>
  <c r="I23" i="24" s="1"/>
  <c r="E23" i="24"/>
  <c r="F23" i="24" s="1"/>
  <c r="T22" i="24"/>
  <c r="U22" i="24" s="1"/>
  <c r="Q22" i="24"/>
  <c r="R22" i="24" s="1"/>
  <c r="N22" i="24"/>
  <c r="O22" i="24" s="1"/>
  <c r="K22" i="24"/>
  <c r="L22" i="24" s="1"/>
  <c r="H22" i="24"/>
  <c r="I22" i="24" s="1"/>
  <c r="E22" i="24"/>
  <c r="F22" i="24" s="1"/>
  <c r="T21" i="24"/>
  <c r="U21" i="24" s="1"/>
  <c r="Q21" i="24"/>
  <c r="R21" i="24" s="1"/>
  <c r="N21" i="24"/>
  <c r="O21" i="24" s="1"/>
  <c r="K21" i="24"/>
  <c r="L21" i="24" s="1"/>
  <c r="H21" i="24"/>
  <c r="I21" i="24" s="1"/>
  <c r="E21" i="24"/>
  <c r="F21" i="24" s="1"/>
  <c r="T20" i="24"/>
  <c r="U20" i="24" s="1"/>
  <c r="Q20" i="24"/>
  <c r="R20" i="24" s="1"/>
  <c r="N20" i="24"/>
  <c r="O20" i="24" s="1"/>
  <c r="L20" i="24"/>
  <c r="K20" i="24"/>
  <c r="H20" i="24"/>
  <c r="I20" i="24" s="1"/>
  <c r="E20" i="24"/>
  <c r="F20" i="24" s="1"/>
  <c r="T19" i="24"/>
  <c r="U19" i="24" s="1"/>
  <c r="Q19" i="24"/>
  <c r="R19" i="24" s="1"/>
  <c r="N19" i="24"/>
  <c r="O19" i="24" s="1"/>
  <c r="K19" i="24"/>
  <c r="L19" i="24" s="1"/>
  <c r="H19" i="24"/>
  <c r="I19" i="24" s="1"/>
  <c r="E19" i="24"/>
  <c r="F19" i="24" s="1"/>
  <c r="T18" i="24"/>
  <c r="U18" i="24" s="1"/>
  <c r="R18" i="24"/>
  <c r="Q18" i="24"/>
  <c r="N18" i="24"/>
  <c r="O18" i="24" s="1"/>
  <c r="K18" i="24"/>
  <c r="L18" i="24" s="1"/>
  <c r="H18" i="24"/>
  <c r="I18" i="24" s="1"/>
  <c r="E18" i="24"/>
  <c r="F18" i="24" s="1"/>
  <c r="T17" i="24"/>
  <c r="U17" i="24" s="1"/>
  <c r="Q17" i="24"/>
  <c r="R17" i="24" s="1"/>
  <c r="O17" i="24"/>
  <c r="N17" i="24"/>
  <c r="K17" i="24"/>
  <c r="L17" i="24" s="1"/>
  <c r="H17" i="24"/>
  <c r="I17" i="24" s="1"/>
  <c r="E17" i="24"/>
  <c r="F17" i="24" s="1"/>
  <c r="T16" i="24"/>
  <c r="U16" i="24" s="1"/>
  <c r="Q16" i="24"/>
  <c r="R16" i="24" s="1"/>
  <c r="N16" i="24"/>
  <c r="O16" i="24" s="1"/>
  <c r="K16" i="24"/>
  <c r="L16" i="24" s="1"/>
  <c r="H16" i="24"/>
  <c r="I16" i="24" s="1"/>
  <c r="E16" i="24"/>
  <c r="F16" i="24" s="1"/>
  <c r="U15" i="24"/>
  <c r="T15" i="24"/>
  <c r="Q15" i="24"/>
  <c r="R15" i="24" s="1"/>
  <c r="N15" i="24"/>
  <c r="O15" i="24" s="1"/>
  <c r="K15" i="24"/>
  <c r="L15" i="24" s="1"/>
  <c r="H15" i="24"/>
  <c r="I15" i="24" s="1"/>
  <c r="E15" i="24"/>
  <c r="F15" i="24" s="1"/>
  <c r="T14" i="24"/>
  <c r="U14" i="24" s="1"/>
  <c r="Q14" i="24"/>
  <c r="R14" i="24" s="1"/>
  <c r="N14" i="24"/>
  <c r="O14" i="24" s="1"/>
  <c r="K14" i="24"/>
  <c r="L14" i="24" s="1"/>
  <c r="H14" i="24"/>
  <c r="I14" i="24" s="1"/>
  <c r="E14" i="24"/>
  <c r="F14" i="24" s="1"/>
  <c r="T13" i="24"/>
  <c r="U13" i="24" s="1"/>
  <c r="Q13" i="24"/>
  <c r="R13" i="24" s="1"/>
  <c r="N13" i="24"/>
  <c r="O13" i="24" s="1"/>
  <c r="K13" i="24"/>
  <c r="L13" i="24" s="1"/>
  <c r="H13" i="24"/>
  <c r="I13" i="24" s="1"/>
  <c r="E13" i="24"/>
  <c r="F13" i="24" s="1"/>
  <c r="T12" i="24"/>
  <c r="U12" i="24" s="1"/>
  <c r="Q12" i="24"/>
  <c r="R12" i="24" s="1"/>
  <c r="N12" i="24"/>
  <c r="O12" i="24" s="1"/>
  <c r="K12" i="24"/>
  <c r="L12" i="24" s="1"/>
  <c r="H12" i="24"/>
  <c r="I12" i="24" s="1"/>
  <c r="F12" i="24"/>
  <c r="E12" i="24"/>
  <c r="T11" i="24"/>
  <c r="U11" i="24" s="1"/>
  <c r="Q11" i="24"/>
  <c r="R11" i="24" s="1"/>
  <c r="N11" i="24"/>
  <c r="O11" i="24" s="1"/>
  <c r="K11" i="24"/>
  <c r="L11" i="24" s="1"/>
  <c r="H11" i="24"/>
  <c r="I11" i="24" s="1"/>
  <c r="E11" i="24"/>
  <c r="F11" i="24" s="1"/>
  <c r="T10" i="24"/>
  <c r="U10" i="24" s="1"/>
  <c r="Q10" i="24"/>
  <c r="R10" i="24" s="1"/>
  <c r="N10" i="24"/>
  <c r="O10" i="24" s="1"/>
  <c r="L10" i="24"/>
  <c r="K10" i="24"/>
  <c r="H10" i="24"/>
  <c r="I10" i="24" s="1"/>
  <c r="E10" i="24"/>
  <c r="F10" i="24" s="1"/>
  <c r="T9" i="24"/>
  <c r="U9" i="24" s="1"/>
  <c r="Q9" i="24"/>
  <c r="R9" i="24" s="1"/>
  <c r="N9" i="24"/>
  <c r="O9" i="24" s="1"/>
  <c r="K9" i="24"/>
  <c r="L9" i="24" s="1"/>
  <c r="I9" i="24"/>
  <c r="H9" i="24"/>
  <c r="E9" i="24"/>
  <c r="F9" i="24" s="1"/>
  <c r="T8" i="24"/>
  <c r="U8" i="24" s="1"/>
  <c r="Q8" i="24"/>
  <c r="R8" i="24" s="1"/>
  <c r="N8" i="24"/>
  <c r="O8" i="24" s="1"/>
  <c r="K8" i="24"/>
  <c r="L8" i="24" s="1"/>
  <c r="H8" i="24"/>
  <c r="I8" i="24" s="1"/>
  <c r="E8" i="24"/>
  <c r="F8" i="24" s="1"/>
  <c r="T7" i="24"/>
  <c r="U7" i="24" s="1"/>
  <c r="Q7" i="24"/>
  <c r="R7" i="24" s="1"/>
  <c r="O7" i="24"/>
  <c r="N7" i="24"/>
  <c r="K7" i="24"/>
  <c r="L7" i="24" s="1"/>
  <c r="H7" i="24"/>
  <c r="I7" i="24" s="1"/>
  <c r="E7" i="24"/>
  <c r="F7" i="24" s="1"/>
  <c r="H17" i="29" l="1"/>
  <c r="J19" i="30" l="1"/>
  <c r="L9" i="44" l="1"/>
  <c r="C47" i="42" l="1"/>
  <c r="D54" i="43" l="1"/>
  <c r="C55" i="43"/>
  <c r="C59" i="43"/>
  <c r="Y9" i="42"/>
  <c r="Y8" i="42"/>
  <c r="Y7" i="42"/>
  <c r="Y6" i="42"/>
  <c r="Y5" i="42"/>
  <c r="AH69" i="29"/>
  <c r="AH61" i="29"/>
  <c r="AJ61" i="29" s="1"/>
  <c r="D35" i="30" s="1"/>
  <c r="L13" i="29"/>
  <c r="AI57" i="29"/>
  <c r="G34" i="42" l="1"/>
  <c r="G33" i="42"/>
  <c r="G14" i="42"/>
  <c r="H14" i="42" s="1"/>
  <c r="E54" i="43"/>
  <c r="F54" i="43" s="1"/>
  <c r="C58" i="43" l="1"/>
  <c r="C57" i="43"/>
  <c r="F10" i="43"/>
  <c r="N16" i="43" s="1"/>
  <c r="F9" i="43"/>
  <c r="G9" i="43" s="1"/>
  <c r="C17" i="43"/>
  <c r="F8" i="43"/>
  <c r="G8" i="43" s="1"/>
  <c r="F7" i="43"/>
  <c r="G7" i="43" s="1"/>
  <c r="F6" i="43"/>
  <c r="G6" i="43" s="1"/>
  <c r="F5" i="43"/>
  <c r="G5" i="43" s="1"/>
  <c r="C60" i="43" l="1"/>
  <c r="C26" i="43"/>
  <c r="C19" i="43"/>
  <c r="O19" i="43" s="1"/>
  <c r="C29" i="43"/>
  <c r="G10" i="43"/>
  <c r="B46" i="43" l="1"/>
  <c r="C18" i="43"/>
  <c r="D18" i="43" s="1"/>
  <c r="C28" i="43"/>
  <c r="O28" i="43" s="1"/>
  <c r="C31" i="43"/>
  <c r="O31" i="43" s="1"/>
  <c r="C23" i="43"/>
  <c r="C14" i="43"/>
  <c r="D19" i="43" l="1"/>
  <c r="E18" i="43" s="1"/>
  <c r="E19" i="43" s="1"/>
  <c r="C30" i="43"/>
  <c r="D30" i="43" s="1"/>
  <c r="C16" i="43"/>
  <c r="O16" i="43" s="1"/>
  <c r="P16" i="43" s="1"/>
  <c r="N19" i="43"/>
  <c r="P19" i="43" s="1"/>
  <c r="N22" i="43"/>
  <c r="D11" i="43"/>
  <c r="C25" i="43"/>
  <c r="O25" i="43" s="1"/>
  <c r="C11" i="43"/>
  <c r="C20" i="43"/>
  <c r="N28" i="43" s="1"/>
  <c r="P28" i="43" s="1"/>
  <c r="C27" i="43"/>
  <c r="E11" i="43"/>
  <c r="D3" i="44"/>
  <c r="D4" i="44" s="1"/>
  <c r="D31" i="43" l="1"/>
  <c r="E30" i="43" s="1"/>
  <c r="E31" i="43" s="1"/>
  <c r="C24" i="43"/>
  <c r="D25" i="43" s="1"/>
  <c r="N31" i="43"/>
  <c r="P31" i="43" s="1"/>
  <c r="D28" i="43"/>
  <c r="D27" i="43"/>
  <c r="C15" i="43"/>
  <c r="N25" i="43"/>
  <c r="P25" i="43" s="1"/>
  <c r="C22" i="43"/>
  <c r="O22" i="43" s="1"/>
  <c r="P22" i="43" s="1"/>
  <c r="D24" i="43" l="1"/>
  <c r="E24" i="43" s="1"/>
  <c r="E25" i="43" s="1"/>
  <c r="E27" i="43"/>
  <c r="E28" i="43" s="1"/>
  <c r="D16" i="43"/>
  <c r="D15" i="43"/>
  <c r="C21" i="43"/>
  <c r="E15" i="43" l="1"/>
  <c r="E16" i="43" s="1"/>
  <c r="D21" i="43"/>
  <c r="D22" i="43"/>
  <c r="E21" i="43" l="1"/>
  <c r="E22" i="43" s="1"/>
  <c r="C52" i="41" l="1"/>
  <c r="C54" i="41"/>
  <c r="C53" i="41"/>
  <c r="C55" i="41" l="1"/>
  <c r="D55" i="30" s="1"/>
  <c r="AA14" i="42" l="1"/>
  <c r="AA15" i="42"/>
  <c r="AB16" i="42"/>
  <c r="G23" i="42"/>
  <c r="H23" i="42" s="1"/>
  <c r="G22" i="42"/>
  <c r="H22" i="42" s="1"/>
  <c r="G21" i="42"/>
  <c r="H21" i="42" s="1"/>
  <c r="G20" i="42"/>
  <c r="H20" i="42" s="1"/>
  <c r="G19" i="42"/>
  <c r="H19" i="42" s="1"/>
  <c r="D10" i="42"/>
  <c r="E10" i="42"/>
  <c r="F10" i="42"/>
  <c r="D9" i="42"/>
  <c r="E9" i="42"/>
  <c r="F9" i="42"/>
  <c r="D6" i="42"/>
  <c r="E6" i="42"/>
  <c r="F6" i="42"/>
  <c r="D7" i="42"/>
  <c r="E7" i="42"/>
  <c r="F7" i="42"/>
  <c r="D8" i="42"/>
  <c r="E8" i="42"/>
  <c r="F8" i="42"/>
  <c r="E5" i="42"/>
  <c r="F5" i="42"/>
  <c r="D5" i="42"/>
  <c r="G37" i="42"/>
  <c r="G36" i="42"/>
  <c r="H36" i="42" s="1"/>
  <c r="G35" i="42"/>
  <c r="H35" i="42" s="1"/>
  <c r="Z9" i="42"/>
  <c r="R9" i="42"/>
  <c r="R8" i="42"/>
  <c r="R7" i="42"/>
  <c r="R6" i="42"/>
  <c r="R5" i="42"/>
  <c r="D49" i="41"/>
  <c r="F5" i="41"/>
  <c r="G5" i="41" s="1"/>
  <c r="F6" i="41"/>
  <c r="G6" i="41" s="1"/>
  <c r="F7" i="41"/>
  <c r="G7" i="41" s="1"/>
  <c r="F8" i="41"/>
  <c r="G8" i="41" s="1"/>
  <c r="F9" i="41"/>
  <c r="G9" i="41" s="1"/>
  <c r="F10" i="41"/>
  <c r="C50" i="41"/>
  <c r="N16" i="41" l="1"/>
  <c r="G10" i="41"/>
  <c r="H37" i="42"/>
  <c r="D41" i="30" s="1"/>
  <c r="G10" i="42"/>
  <c r="G9" i="42"/>
  <c r="G8" i="42"/>
  <c r="H8" i="42" s="1"/>
  <c r="N7" i="43"/>
  <c r="G6" i="42"/>
  <c r="G5" i="42"/>
  <c r="H33" i="42"/>
  <c r="E49" i="41"/>
  <c r="F49" i="41" s="1"/>
  <c r="N9" i="43" l="1"/>
  <c r="H10" i="42"/>
  <c r="K10" i="42"/>
  <c r="H5" i="42"/>
  <c r="H34" i="42"/>
  <c r="D37" i="30" s="1"/>
  <c r="H6" i="42"/>
  <c r="N10" i="43"/>
  <c r="H9" i="42"/>
  <c r="N8" i="43"/>
  <c r="H7" i="42"/>
  <c r="N7" i="41"/>
  <c r="C7" i="41" s="1"/>
  <c r="G11" i="42"/>
  <c r="K9" i="42" l="1"/>
  <c r="H11" i="42"/>
  <c r="D19" i="30" s="1"/>
  <c r="D7" i="41"/>
  <c r="E7" i="41" s="1"/>
  <c r="H39" i="30"/>
  <c r="H37" i="30"/>
  <c r="K8" i="42" l="1"/>
  <c r="C47" i="30"/>
  <c r="I19" i="29"/>
  <c r="K7" i="42" l="1"/>
  <c r="G38" i="42"/>
  <c r="H38" i="42" s="1"/>
  <c r="H41" i="30"/>
  <c r="K6" i="42" l="1"/>
  <c r="K5" i="42" s="1"/>
  <c r="B12" i="39"/>
  <c r="B32" i="39" s="1"/>
  <c r="B12" i="38"/>
  <c r="B32" i="38" s="1"/>
  <c r="K11" i="42" l="1"/>
  <c r="B25" i="38"/>
  <c r="B34" i="38" s="1"/>
  <c r="B35" i="38" s="1"/>
  <c r="D11" i="30"/>
  <c r="O6" i="42" l="1"/>
  <c r="N6" i="42" s="1"/>
  <c r="C43" i="42" s="1"/>
  <c r="Y11" i="42"/>
  <c r="F11" i="43"/>
  <c r="F11" i="41"/>
  <c r="G11" i="41" s="1"/>
  <c r="B29" i="37"/>
  <c r="B29" i="35"/>
  <c r="B32" i="37"/>
  <c r="B22" i="37"/>
  <c r="B21" i="37"/>
  <c r="B20" i="37"/>
  <c r="B19" i="37"/>
  <c r="B18" i="37"/>
  <c r="B15" i="37"/>
  <c r="B14" i="37"/>
  <c r="B13" i="37"/>
  <c r="B11" i="37"/>
  <c r="C12" i="37" s="1"/>
  <c r="B8" i="37"/>
  <c r="C8" i="37" s="1"/>
  <c r="B7" i="37"/>
  <c r="C7" i="37" s="1"/>
  <c r="B32" i="36"/>
  <c r="B22" i="36"/>
  <c r="B21" i="36"/>
  <c r="B20" i="36"/>
  <c r="B19" i="36"/>
  <c r="B18" i="36"/>
  <c r="B15" i="36"/>
  <c r="B14" i="36"/>
  <c r="B13" i="36"/>
  <c r="B11" i="36"/>
  <c r="B8" i="36"/>
  <c r="C8" i="36" s="1"/>
  <c r="B7" i="36"/>
  <c r="C7" i="36" s="1"/>
  <c r="B32" i="35"/>
  <c r="B22" i="35"/>
  <c r="B21" i="35"/>
  <c r="B20" i="35"/>
  <c r="B19" i="35"/>
  <c r="B18" i="35"/>
  <c r="B15" i="35"/>
  <c r="B14" i="35"/>
  <c r="B13" i="35"/>
  <c r="B11" i="35"/>
  <c r="C12" i="35" s="1"/>
  <c r="B8" i="35"/>
  <c r="C8" i="35" s="1"/>
  <c r="B7" i="35"/>
  <c r="C7" i="35" s="1"/>
  <c r="B32" i="34"/>
  <c r="B22" i="34"/>
  <c r="B21" i="34"/>
  <c r="B20" i="34"/>
  <c r="B19" i="34"/>
  <c r="B18" i="34"/>
  <c r="B15" i="34"/>
  <c r="B14" i="34"/>
  <c r="B13" i="34"/>
  <c r="B11" i="34"/>
  <c r="C12" i="34" s="1"/>
  <c r="B8" i="34"/>
  <c r="C8" i="34" s="1"/>
  <c r="B7" i="34"/>
  <c r="C7" i="34" s="1"/>
  <c r="B32" i="33"/>
  <c r="B22" i="33"/>
  <c r="B21" i="33"/>
  <c r="B20" i="33"/>
  <c r="B19" i="33"/>
  <c r="B18" i="33"/>
  <c r="B15" i="33"/>
  <c r="B14" i="33"/>
  <c r="B13" i="33"/>
  <c r="B11" i="33"/>
  <c r="C12" i="33" s="1"/>
  <c r="B8" i="33"/>
  <c r="C8" i="33" s="1"/>
  <c r="B7" i="33"/>
  <c r="C7" i="33" s="1"/>
  <c r="B32" i="32"/>
  <c r="B22" i="32"/>
  <c r="B21" i="32"/>
  <c r="B20" i="32"/>
  <c r="B19" i="32"/>
  <c r="B18" i="32"/>
  <c r="B15" i="32"/>
  <c r="B14" i="32"/>
  <c r="B13" i="32"/>
  <c r="B11" i="32"/>
  <c r="C12" i="32" s="1"/>
  <c r="B8" i="32"/>
  <c r="C8" i="32" s="1"/>
  <c r="B7" i="32"/>
  <c r="C7" i="32" s="1"/>
  <c r="G11" i="43" l="1"/>
  <c r="E36" i="43"/>
  <c r="C36" i="43" s="1"/>
  <c r="C43" i="43" s="1"/>
  <c r="B29" i="36"/>
  <c r="B29" i="32"/>
  <c r="C13" i="36"/>
  <c r="C14" i="37"/>
  <c r="C22" i="34"/>
  <c r="C15" i="33"/>
  <c r="C21" i="37"/>
  <c r="C13" i="33"/>
  <c r="C22" i="36"/>
  <c r="C22" i="37"/>
  <c r="C21" i="34"/>
  <c r="C15" i="32"/>
  <c r="C14" i="33"/>
  <c r="C21" i="35"/>
  <c r="C21" i="33"/>
  <c r="C21" i="36"/>
  <c r="C19" i="37"/>
  <c r="C22" i="35"/>
  <c r="C22" i="33"/>
  <c r="C13" i="35"/>
  <c r="C19" i="35"/>
  <c r="C14" i="34"/>
  <c r="C19" i="34"/>
  <c r="C14" i="32"/>
  <c r="C21" i="32"/>
  <c r="C19" i="33"/>
  <c r="C15" i="34"/>
  <c r="C14" i="35"/>
  <c r="C14" i="36"/>
  <c r="C22" i="32"/>
  <c r="C15" i="35"/>
  <c r="C19" i="36"/>
  <c r="C13" i="32"/>
  <c r="C13" i="34"/>
  <c r="C12" i="36"/>
  <c r="C19" i="32"/>
  <c r="C15" i="36"/>
  <c r="C13" i="37"/>
  <c r="B29" i="33"/>
  <c r="B29" i="34"/>
  <c r="C15" i="37"/>
  <c r="D9" i="30"/>
  <c r="D7" i="30"/>
  <c r="D13" i="30"/>
  <c r="B22" i="21"/>
  <c r="B21" i="21"/>
  <c r="B20" i="21"/>
  <c r="B19" i="21"/>
  <c r="B18" i="21"/>
  <c r="B15" i="21"/>
  <c r="B14" i="21"/>
  <c r="B13" i="21"/>
  <c r="B11" i="21"/>
  <c r="B8" i="21"/>
  <c r="B7" i="21"/>
  <c r="E43" i="43" l="1"/>
  <c r="E44" i="43" s="1"/>
  <c r="G43" i="43"/>
  <c r="J13" i="30"/>
  <c r="AJ59" i="29" s="1"/>
  <c r="J15" i="30"/>
  <c r="J68" i="30"/>
  <c r="C68" i="30"/>
  <c r="C66" i="30"/>
  <c r="C29" i="30"/>
  <c r="D29" i="30"/>
  <c r="H68" i="30"/>
  <c r="B18" i="38"/>
  <c r="B18" i="39"/>
  <c r="B13" i="39"/>
  <c r="B13" i="38"/>
  <c r="B8" i="39"/>
  <c r="C8" i="39" s="1"/>
  <c r="B8" i="38"/>
  <c r="C8" i="38" s="1"/>
  <c r="B21" i="39"/>
  <c r="B21" i="38"/>
  <c r="B15" i="38"/>
  <c r="B15" i="39"/>
  <c r="B11" i="38"/>
  <c r="B11" i="39"/>
  <c r="B22" i="38"/>
  <c r="B22" i="39"/>
  <c r="B7" i="38"/>
  <c r="C7" i="38" s="1"/>
  <c r="B7" i="39"/>
  <c r="C7" i="39" s="1"/>
  <c r="B20" i="39"/>
  <c r="B20" i="38"/>
  <c r="B19" i="39"/>
  <c r="B19" i="38"/>
  <c r="B14" i="38"/>
  <c r="B14" i="39"/>
  <c r="B19" i="25"/>
  <c r="B20" i="25"/>
  <c r="B21" i="25"/>
  <c r="B22" i="25"/>
  <c r="B18" i="25"/>
  <c r="B12" i="25"/>
  <c r="B32" i="25" s="1"/>
  <c r="B13" i="25"/>
  <c r="B14" i="25"/>
  <c r="B15" i="25"/>
  <c r="B11" i="25"/>
  <c r="B7" i="25"/>
  <c r="C7" i="25" s="1"/>
  <c r="B8" i="25"/>
  <c r="C8" i="25" s="1"/>
  <c r="B32" i="21"/>
  <c r="B29" i="21"/>
  <c r="C22" i="21"/>
  <c r="C21" i="21"/>
  <c r="C19" i="21"/>
  <c r="C15" i="21"/>
  <c r="C14" i="21"/>
  <c r="C13" i="21"/>
  <c r="C12" i="21"/>
  <c r="C8" i="21"/>
  <c r="C7" i="21"/>
  <c r="E45" i="43" l="1"/>
  <c r="E46" i="43" s="1"/>
  <c r="D60" i="43"/>
  <c r="G15" i="42"/>
  <c r="L5" i="42" s="1"/>
  <c r="C22" i="38"/>
  <c r="G27" i="42"/>
  <c r="N8" i="41"/>
  <c r="S7" i="42"/>
  <c r="G24" i="42"/>
  <c r="H24" i="42" s="1"/>
  <c r="N9" i="41"/>
  <c r="S8" i="42"/>
  <c r="N10" i="41"/>
  <c r="S9" i="42"/>
  <c r="C22" i="39"/>
  <c r="C19" i="39"/>
  <c r="C19" i="38"/>
  <c r="C21" i="39"/>
  <c r="C13" i="39"/>
  <c r="C12" i="39"/>
  <c r="C14" i="39"/>
  <c r="C15" i="39"/>
  <c r="C13" i="38"/>
  <c r="C14" i="38"/>
  <c r="C12" i="38"/>
  <c r="C15" i="38"/>
  <c r="C21" i="38"/>
  <c r="C15" i="25"/>
  <c r="C21" i="25"/>
  <c r="C19" i="25"/>
  <c r="C22" i="25"/>
  <c r="C13" i="25"/>
  <c r="C12" i="25"/>
  <c r="C14" i="25"/>
  <c r="O8" i="42" l="1"/>
  <c r="N8" i="42" s="1"/>
  <c r="C46" i="43"/>
  <c r="G46" i="43"/>
  <c r="T9" i="42"/>
  <c r="U9" i="42" s="1"/>
  <c r="V9" i="42" s="1"/>
  <c r="H27" i="42"/>
  <c r="S5" i="42"/>
  <c r="G16" i="42"/>
  <c r="H16" i="42" s="1"/>
  <c r="H15" i="42"/>
  <c r="T8" i="42"/>
  <c r="U8" i="42" s="1"/>
  <c r="V8" i="42" s="1"/>
  <c r="T7" i="42"/>
  <c r="U7" i="42" s="1"/>
  <c r="W8" i="42"/>
  <c r="B6" i="37"/>
  <c r="C6" i="37" s="1"/>
  <c r="C34" i="37" s="1"/>
  <c r="C35" i="37" s="1"/>
  <c r="B6" i="32"/>
  <c r="C6" i="32" s="1"/>
  <c r="C34" i="32" s="1"/>
  <c r="C35" i="32" s="1"/>
  <c r="B6" i="34"/>
  <c r="C6" i="34" s="1"/>
  <c r="C34" i="34" s="1"/>
  <c r="C35" i="34" s="1"/>
  <c r="N5" i="43"/>
  <c r="B6" i="21"/>
  <c r="B6" i="38" s="1"/>
  <c r="C6" i="38" s="1"/>
  <c r="C34" i="38" s="1"/>
  <c r="C35" i="38" s="1"/>
  <c r="B36" i="38" s="1"/>
  <c r="B37" i="38" s="1"/>
  <c r="D15" i="30"/>
  <c r="H17" i="30" s="1"/>
  <c r="B6" i="36"/>
  <c r="C6" i="36" s="1"/>
  <c r="C34" i="36" s="1"/>
  <c r="C35" i="36" s="1"/>
  <c r="B6" i="35"/>
  <c r="C6" i="35" s="1"/>
  <c r="C34" i="35" s="1"/>
  <c r="C35" i="35" s="1"/>
  <c r="D17" i="30"/>
  <c r="B6" i="33"/>
  <c r="C6" i="33" s="1"/>
  <c r="C34" i="33" s="1"/>
  <c r="C35" i="33" s="1"/>
  <c r="G28" i="42"/>
  <c r="S6" i="42" s="1"/>
  <c r="D23" i="30"/>
  <c r="C10" i="41"/>
  <c r="C8" i="41"/>
  <c r="C9" i="41"/>
  <c r="W7" i="42" l="1"/>
  <c r="C6" i="21"/>
  <c r="C34" i="21" s="1"/>
  <c r="C35" i="21" s="1"/>
  <c r="B6" i="25"/>
  <c r="C6" i="25" s="1"/>
  <c r="C34" i="25" s="1"/>
  <c r="C35" i="25" s="1"/>
  <c r="B6" i="39"/>
  <c r="C6" i="39" s="1"/>
  <c r="C34" i="39" s="1"/>
  <c r="C35" i="39" s="1"/>
  <c r="T5" i="42"/>
  <c r="U5" i="42" s="1"/>
  <c r="T6" i="42"/>
  <c r="U6" i="42" s="1"/>
  <c r="V6" i="42" s="1"/>
  <c r="W6" i="42"/>
  <c r="W9" i="42"/>
  <c r="V7" i="42"/>
  <c r="G29" i="42"/>
  <c r="H28" i="42"/>
  <c r="N6" i="43"/>
  <c r="N11" i="43" s="1"/>
  <c r="D58" i="30"/>
  <c r="D60" i="30" s="1"/>
  <c r="X8" i="42"/>
  <c r="N5" i="41"/>
  <c r="D8" i="41"/>
  <c r="E8" i="41" s="1"/>
  <c r="D9" i="41"/>
  <c r="E9" i="41" s="1"/>
  <c r="N6" i="41"/>
  <c r="AC11" i="42"/>
  <c r="D10" i="41"/>
  <c r="E10" i="41" s="1"/>
  <c r="C45" i="42" l="1"/>
  <c r="V5" i="42"/>
  <c r="H29" i="42"/>
  <c r="S10" i="42"/>
  <c r="G41" i="42"/>
  <c r="C5" i="41"/>
  <c r="D5" i="41" s="1"/>
  <c r="E5" i="41" s="1"/>
  <c r="C6" i="41"/>
  <c r="G54" i="42"/>
  <c r="G51" i="42"/>
  <c r="X9" i="42"/>
  <c r="Z8" i="42" s="1"/>
  <c r="W5" i="42"/>
  <c r="X5" i="42" s="1"/>
  <c r="AA5" i="42" s="1"/>
  <c r="AA8" i="42"/>
  <c r="D33" i="30"/>
  <c r="N11" i="41"/>
  <c r="X7" i="42"/>
  <c r="X6" i="42"/>
  <c r="H51" i="42" l="1"/>
  <c r="D25" i="30" s="1"/>
  <c r="H54" i="42"/>
  <c r="D21" i="30" s="1"/>
  <c r="N10" i="42"/>
  <c r="H41" i="42"/>
  <c r="D27" i="30" s="1"/>
  <c r="Z5" i="42"/>
  <c r="AB5" i="42" s="1"/>
  <c r="Z6" i="42"/>
  <c r="Z7" i="42"/>
  <c r="T10" i="42"/>
  <c r="U10" i="42" s="1"/>
  <c r="AA9" i="42"/>
  <c r="AB9" i="42" s="1"/>
  <c r="AB8" i="42"/>
  <c r="C29" i="41"/>
  <c r="C31" i="41" s="1"/>
  <c r="O31" i="41" s="1"/>
  <c r="D6" i="41"/>
  <c r="E6" i="41" s="1"/>
  <c r="AA7" i="42"/>
  <c r="AA6" i="42"/>
  <c r="V10" i="42" l="1"/>
  <c r="AB7" i="42"/>
  <c r="C14" i="41"/>
  <c r="C23" i="41"/>
  <c r="C17" i="41"/>
  <c r="C30" i="41"/>
  <c r="E11" i="41"/>
  <c r="C26" i="41"/>
  <c r="C20" i="41"/>
  <c r="D11" i="41"/>
  <c r="C11" i="41"/>
  <c r="AB6" i="42"/>
  <c r="AB10" i="42" l="1"/>
  <c r="AB14" i="42" s="1"/>
  <c r="AB15" i="42" s="1"/>
  <c r="N25" i="41"/>
  <c r="N22" i="41"/>
  <c r="C16" i="41"/>
  <c r="O16" i="41" s="1"/>
  <c r="P16" i="41" s="1"/>
  <c r="N19" i="41"/>
  <c r="C25" i="41"/>
  <c r="O25" i="41" s="1"/>
  <c r="C19" i="41"/>
  <c r="O19" i="41" s="1"/>
  <c r="D31" i="41"/>
  <c r="D30" i="41"/>
  <c r="C22" i="41"/>
  <c r="O22" i="41" s="1"/>
  <c r="N28" i="41"/>
  <c r="N31" i="41"/>
  <c r="P31" i="41" s="1"/>
  <c r="C28" i="41"/>
  <c r="O28" i="41" s="1"/>
  <c r="C15" i="41" l="1"/>
  <c r="D15" i="41" s="1"/>
  <c r="P25" i="41"/>
  <c r="P19" i="41"/>
  <c r="P22" i="41"/>
  <c r="C24" i="41"/>
  <c r="C18" i="41"/>
  <c r="E30" i="41"/>
  <c r="E31" i="41" s="1"/>
  <c r="H66" i="30"/>
  <c r="C21" i="41"/>
  <c r="P28" i="41"/>
  <c r="C27" i="41"/>
  <c r="D16" i="41" l="1"/>
  <c r="E15" i="41" s="1"/>
  <c r="E16" i="41" s="1"/>
  <c r="E37" i="41"/>
  <c r="C37" i="41" s="1"/>
  <c r="C38" i="41" s="1"/>
  <c r="D18" i="41"/>
  <c r="D19" i="41"/>
  <c r="D25" i="41"/>
  <c r="D24" i="41"/>
  <c r="D21" i="41"/>
  <c r="D22" i="41"/>
  <c r="D27" i="41"/>
  <c r="D28" i="41"/>
  <c r="B25" i="35" l="1"/>
  <c r="B34" i="35" s="1"/>
  <c r="B35" i="35" s="1"/>
  <c r="B36" i="35" s="1"/>
  <c r="B37" i="35" s="1"/>
  <c r="G38" i="41"/>
  <c r="E38" i="41"/>
  <c r="E39" i="41" s="1"/>
  <c r="E40" i="41" s="1"/>
  <c r="E41" i="41" s="1"/>
  <c r="D45" i="30" s="1"/>
  <c r="B25" i="25" s="1"/>
  <c r="E18" i="41"/>
  <c r="E19" i="41" s="1"/>
  <c r="E24" i="41"/>
  <c r="E25" i="41" s="1"/>
  <c r="E27" i="41"/>
  <c r="E28" i="41" s="1"/>
  <c r="E21" i="41"/>
  <c r="E22" i="41" s="1"/>
  <c r="B25" i="36"/>
  <c r="B34" i="36" s="1"/>
  <c r="B35" i="36" s="1"/>
  <c r="B36" i="36" s="1"/>
  <c r="B37" i="36" s="1"/>
  <c r="AJ5" i="31" s="1"/>
  <c r="AM5" i="31" l="1"/>
  <c r="AN5" i="31" s="1"/>
  <c r="AK5" i="31"/>
  <c r="AL5" i="31" s="1"/>
  <c r="AO5" i="31"/>
  <c r="AP5" i="31" s="1"/>
  <c r="AJ9" i="31"/>
  <c r="AJ7" i="31"/>
  <c r="AJ8" i="31"/>
  <c r="AJ6" i="31"/>
  <c r="B25" i="34"/>
  <c r="B34" i="34" s="1"/>
  <c r="B35" i="34" s="1"/>
  <c r="B36" i="34" s="1"/>
  <c r="B37" i="34" s="1"/>
  <c r="B25" i="37"/>
  <c r="B34" i="37" s="1"/>
  <c r="B35" i="37" s="1"/>
  <c r="B36" i="37" s="1"/>
  <c r="B37" i="37" s="1"/>
  <c r="AJ4" i="31" s="1"/>
  <c r="D55" i="41"/>
  <c r="F45" i="30"/>
  <c r="AJ11" i="31" l="1"/>
  <c r="AJ10" i="31"/>
  <c r="AM8" i="31"/>
  <c r="AN8" i="31" s="1"/>
  <c r="AK8" i="31"/>
  <c r="AL8" i="31" s="1"/>
  <c r="AO8" i="31"/>
  <c r="AP8" i="31" s="1"/>
  <c r="AM9" i="31"/>
  <c r="AN9" i="31" s="1"/>
  <c r="AK9" i="31"/>
  <c r="AL9" i="31" s="1"/>
  <c r="AO9" i="31"/>
  <c r="AP9" i="31" s="1"/>
  <c r="AK4" i="31"/>
  <c r="AL4" i="31" s="1"/>
  <c r="AM4" i="31"/>
  <c r="AN4" i="31" s="1"/>
  <c r="AO4" i="31"/>
  <c r="AP4" i="31" s="1"/>
  <c r="AM6" i="31"/>
  <c r="AN6" i="31" s="1"/>
  <c r="AK6" i="31"/>
  <c r="AL6" i="31" s="1"/>
  <c r="AO6" i="31"/>
  <c r="AP6" i="31" s="1"/>
  <c r="AK7" i="31"/>
  <c r="AL7" i="31" s="1"/>
  <c r="AM7" i="31"/>
  <c r="AN7" i="31" s="1"/>
  <c r="AO7" i="31"/>
  <c r="AP7" i="31" s="1"/>
  <c r="G41" i="41"/>
  <c r="C41" i="41"/>
  <c r="AK10" i="31" l="1"/>
  <c r="AL10" i="31" s="1"/>
  <c r="AO10" i="31"/>
  <c r="AP10" i="31" s="1"/>
  <c r="AM10" i="31"/>
  <c r="AN10" i="31" s="1"/>
  <c r="AM11" i="31"/>
  <c r="AN11" i="31" s="1"/>
  <c r="AK11" i="31"/>
  <c r="AL11" i="31" s="1"/>
  <c r="AO11" i="31"/>
  <c r="AP11" i="31" s="1"/>
  <c r="F51" i="30"/>
  <c r="F53" i="30" s="1"/>
  <c r="B25" i="33"/>
  <c r="B34" i="33" s="1"/>
  <c r="B35" i="33" s="1"/>
  <c r="B36" i="33" s="1"/>
  <c r="B37" i="33" s="1"/>
  <c r="AJ12" i="31" s="1"/>
  <c r="AK12" i="31" l="1"/>
  <c r="AL12" i="31" s="1"/>
  <c r="AM12" i="31"/>
  <c r="AN12" i="31" s="1"/>
  <c r="AO12" i="31"/>
  <c r="AP12" i="31" s="1"/>
  <c r="D51" i="30"/>
  <c r="D53" i="30" s="1"/>
  <c r="B25" i="32"/>
  <c r="B34" i="32" s="1"/>
  <c r="B35" i="32" s="1"/>
  <c r="B36" i="32" s="1"/>
  <c r="B37" i="32" s="1"/>
  <c r="AJ13" i="31" s="1"/>
  <c r="B25" i="21"/>
  <c r="AM13" i="31" l="1"/>
  <c r="AN13" i="31" s="1"/>
  <c r="L51" i="30" s="1"/>
  <c r="AK13" i="31"/>
  <c r="AL13" i="31" s="1"/>
  <c r="AO13" i="31"/>
  <c r="AP13" i="31" s="1"/>
  <c r="H51" i="30"/>
  <c r="J51" i="30"/>
  <c r="D47" i="30"/>
  <c r="B25" i="39" s="1"/>
  <c r="B34" i="39" s="1"/>
  <c r="B35" i="39" s="1"/>
  <c r="B36" i="39" s="1"/>
  <c r="B37" i="39" s="1"/>
  <c r="AC6" i="42" s="1"/>
  <c r="B34" i="21"/>
  <c r="B35" i="21" s="1"/>
  <c r="B36" i="21" s="1"/>
  <c r="B37" i="21" s="1"/>
  <c r="N51" i="30" l="1"/>
  <c r="H47" i="30"/>
  <c r="F47" i="30"/>
  <c r="F49" i="30" s="1"/>
  <c r="D49" i="30"/>
  <c r="B34" i="25"/>
  <c r="B35" i="25" s="1"/>
  <c r="B36" i="25" s="1"/>
  <c r="B37" i="25" s="1"/>
  <c r="H45" i="30" l="1"/>
  <c r="J47" i="30"/>
  <c r="L47" i="30" s="1"/>
  <c r="N47" i="30" s="1"/>
  <c r="H49" i="30" l="1"/>
  <c r="H53" i="30"/>
  <c r="J45" i="30"/>
  <c r="J53" i="30" s="1"/>
  <c r="L45" i="30" l="1"/>
  <c r="J49" i="30"/>
  <c r="N45" i="30" l="1"/>
  <c r="L53" i="30"/>
  <c r="N53" i="30" s="1"/>
  <c r="L49" i="30"/>
  <c r="N49" i="30" s="1"/>
</calcChain>
</file>

<file path=xl/sharedStrings.xml><?xml version="1.0" encoding="utf-8"?>
<sst xmlns="http://schemas.openxmlformats.org/spreadsheetml/2006/main" count="897" uniqueCount="347">
  <si>
    <t>Años de Servicio</t>
  </si>
  <si>
    <t>A1</t>
  </si>
  <si>
    <t>A2</t>
  </si>
  <si>
    <t>Haber Regulador</t>
  </si>
  <si>
    <t>Importe Anual</t>
  </si>
  <si>
    <t>Importe Mensual</t>
  </si>
  <si>
    <t>Años</t>
  </si>
  <si>
    <t>Meses</t>
  </si>
  <si>
    <t>Días</t>
  </si>
  <si>
    <t>Fecha jubilación</t>
  </si>
  <si>
    <t>Trienios</t>
  </si>
  <si>
    <t>Maestros</t>
  </si>
  <si>
    <t>SI</t>
  </si>
  <si>
    <t>NO</t>
  </si>
  <si>
    <t>Incapacidad Total para profesión habitual</t>
  </si>
  <si>
    <t>Incapacidad Absoluta para toda Profesión</t>
  </si>
  <si>
    <t>Maestros de Taller de Artes Plásticas y Diseño</t>
  </si>
  <si>
    <t>Profesores de Escuelas Oficiales de Idiomas</t>
  </si>
  <si>
    <t>Profesores de Musica y Artes Escénicas</t>
  </si>
  <si>
    <t>Profesores de Artes Plásticas y Diseño</t>
  </si>
  <si>
    <t>Profesores Técnicos de Formación Profesional</t>
  </si>
  <si>
    <t>Profesores de Enseñanza Secundaria</t>
  </si>
  <si>
    <t>Sueldo Base</t>
  </si>
  <si>
    <t>Isla No Capitalina</t>
  </si>
  <si>
    <t>Trienios Residencia Isla No Capitalina</t>
  </si>
  <si>
    <t>Isla Capitalina</t>
  </si>
  <si>
    <t>MUFACE</t>
  </si>
  <si>
    <t>Clase Pasivas</t>
  </si>
  <si>
    <t>Tiempo de servicio en el Cuerpo E    (Seguridad Social grupo 6,10, 11, 12 y empleadas hogar)</t>
  </si>
  <si>
    <t>Tiempo de servicio en el Cuerpo C2  (Seguridad Social grupo 7 y 9)</t>
  </si>
  <si>
    <t>Tiempo de servicio en el Cuerpo C1  (Seguridad Social grupo 3, 4 ,5 , 8 y Autónomos en general)</t>
  </si>
  <si>
    <t>Tiempo de servicio en el Cuerpo B</t>
  </si>
  <si>
    <t>Tiempo de servicio en el Cuerpo A2  (Seguridad Social grupo 2+ Autónomos Ingen. Técnicos y peritos)</t>
  </si>
  <si>
    <t xml:space="preserve">Tiempo de servicio en el Cuerpo A1  (Seguridad Social grupo 1+ Autónomos licenciados e ingenieros) </t>
  </si>
  <si>
    <t>Prestado servicios en dos o más Cuerpos</t>
  </si>
  <si>
    <t>Rendimiento Bruto</t>
  </si>
  <si>
    <t>Edad</t>
  </si>
  <si>
    <t>Discapacidad del contribuyente igual o superior al 65%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</si>
  <si>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</si>
  <si>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</si>
  <si>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</si>
  <si>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</si>
  <si>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</si>
  <si>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</si>
  <si>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</si>
  <si>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</si>
  <si>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</si>
  <si>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Discapacidad del contribuyente entre el 33% y el 65%</t>
  </si>
  <si>
    <t>DATOS PARA EL CÁLCULO DEL % DE RETENCIÓN DE IRPF</t>
  </si>
  <si>
    <t>CONTRIBUYENTE</t>
  </si>
  <si>
    <t>REDUCCIÓN</t>
  </si>
  <si>
    <t>Mínimo personal</t>
  </si>
  <si>
    <t>Rendimiento del trabajo</t>
  </si>
  <si>
    <t>SUELDO BRUTO</t>
  </si>
  <si>
    <t>Base IRPF</t>
  </si>
  <si>
    <t>DEDUCCIONES</t>
  </si>
  <si>
    <t>Cuota IRPF</t>
  </si>
  <si>
    <t>Cuota Final IRPF</t>
  </si>
  <si>
    <t>% de retención de IRPF</t>
  </si>
  <si>
    <t>Cumplimentar las casillas de fondo amarillo</t>
  </si>
  <si>
    <t>B</t>
  </si>
  <si>
    <t>C1</t>
  </si>
  <si>
    <t>C2</t>
  </si>
  <si>
    <t>E</t>
  </si>
  <si>
    <t>DESCENDIENTES, con rentas inferiores a 8.000€</t>
  </si>
  <si>
    <t>ASCENDIENTES, que convivan y con rentas inferiores a 8.000€</t>
  </si>
  <si>
    <t>3 o más hijos</t>
  </si>
  <si>
    <t xml:space="preserve">Número de contribuyentes que se aplican esta deducción </t>
  </si>
  <si>
    <t>Limite Máximo Anual</t>
  </si>
  <si>
    <t>Limite Máximo Mensual</t>
  </si>
  <si>
    <t>Grupo</t>
  </si>
  <si>
    <t>Porcentaje</t>
  </si>
  <si>
    <t>Texto Refundido de la Ley de Clases Pasivas del Estado (B.O.E. 27/5/1987)</t>
  </si>
  <si>
    <t>Real Decreto 691/1991, de 12 de abril, sobre cómputo recíproco de cuotas entre regímenes de Seguridad Social (B.O.E. 1/5/1991)</t>
  </si>
  <si>
    <t>Real Decreto 2072/1999, de 30 de noviembre, sobre transferencias recíprocas de derechos entre el sistema de previsión social del personal de las Comunidades Europeas y los regímenes públicos de previsión social españoles (B.O.E. 18/1/2000)</t>
  </si>
  <si>
    <t>Real Decreto 432/2000, de 31 de marzo, por el que se regula el cómputo en Clases Pasivas de los períodos reconocidos como cotizados a la Seguridad Social en favor de las sacerdotes y religiosos de la Iglesia Católica, secularizados (B.O.E. 8/4/2000)</t>
  </si>
  <si>
    <t>Título I del Real Decreto 710/2009, de 17 de abril, por el que se desarrollan las previsiones de la Ley 2/2008, de 23 de diciembre en materia de Pensiones de Clases Pasivas y de determinadas Indemnizaciones Sociales (B.O.E. 30/4/2009)</t>
  </si>
  <si>
    <t>Ley 48/2015, de 29 de octubre, de Presupuestos Generales del Estado para el año 2016. (BOE 30/10/2015)</t>
  </si>
  <si>
    <t>Resolución de 18 de marzo de 2010, de la Dirección General de Costes de Personal y Pensiones Públicas, por la que se regula la gestión electrónica del impreso "J" de iniciación del procedimiento de reconocimiento de pensiones de jubilación de los Funciona</t>
  </si>
  <si>
    <t>NORMATIVAS</t>
  </si>
  <si>
    <t>Teléfono gratuito de información: 900 503055</t>
  </si>
  <si>
    <t>Sede electrónica</t>
  </si>
  <si>
    <t>Simulador de cálculo de pensiones</t>
  </si>
  <si>
    <t xml:space="preserve">e-mail: Clases.pasivas@sepg.minhap.es </t>
  </si>
  <si>
    <t xml:space="preserve">La jubilación forzosa por incapacidad permanente para el servicio lleva consigo el reconocimiento, como servicios prestados, del tiempo que falte al interesado hasta cumplir la edad de jubilación forzosa. </t>
  </si>
  <si>
    <t>Cuando el interesado acredite menos de veinte años de servicios y la incapacidad no le inhabilite para toda profesión u oficio, la cuantía de la pensión ordinaria se reducirán en un 5% por cada año completo de servicio que le falte hasta cumplir los 20 años de servicio, con un máximo del 25% para quienes acrediten 15 o menos años de servicios.</t>
  </si>
  <si>
    <t>Información previa a la jubilación.</t>
  </si>
  <si>
    <t>Mujer</t>
  </si>
  <si>
    <t>Jubilación Forzosa (65 años)</t>
  </si>
  <si>
    <t>Jubilación Anticipada (60 años y 30 años de Servicio)</t>
  </si>
  <si>
    <t>INFORMACIÓN</t>
  </si>
  <si>
    <t>Web Ministerio Hacienda y Función Pública</t>
  </si>
  <si>
    <t>Tiempo total cotizado a Seguridad Seguridad Social en Grupos: 07 y 09)</t>
  </si>
  <si>
    <t xml:space="preserve">Tiempo total cotizado a Seguridad Seguridad Social en Grupos: 01 y Autónomos licenciados e ingenieros </t>
  </si>
  <si>
    <t>Tiempo total cotizado a Seguridad Seguridad Social en Grupos: 02 y Autónomos Ingen. Técnicos y peritos</t>
  </si>
  <si>
    <t>Tiempo total cotizado a Seguridad Seguridad Social en Grupos: 06,10, 11, 12 y empleadas hogar</t>
  </si>
  <si>
    <t>Tiempo total cotizado a Seguridad Seguridad Social en Grupos: 03, 04 ,05 , 08 y Autónomos en general</t>
  </si>
  <si>
    <t>Total de servicio para la Administración Pública</t>
  </si>
  <si>
    <t>Total de Cotización distinto a Adminsitración Pública</t>
  </si>
  <si>
    <t>Días de Vacaciones no disfrutadas</t>
  </si>
  <si>
    <t>Último día en el centro</t>
  </si>
  <si>
    <t>Aplicación realizada por DOCENTES DE CANARIAS-INSUCAN</t>
  </si>
  <si>
    <t>Sexenios</t>
  </si>
  <si>
    <t>Seguridad Social y Cuota sindical</t>
  </si>
  <si>
    <t>Por ser pensionista</t>
  </si>
  <si>
    <t>Edad en fecha jubilación</t>
  </si>
  <si>
    <t>Tipo jubilación</t>
  </si>
  <si>
    <t>Fecha nacimiento</t>
  </si>
  <si>
    <t>Cuerpo docente</t>
  </si>
  <si>
    <t>Destino</t>
  </si>
  <si>
    <t>Grupo A2</t>
  </si>
  <si>
    <t>Grupo C1</t>
  </si>
  <si>
    <t>Grupo C2</t>
  </si>
  <si>
    <t>Grupo E</t>
  </si>
  <si>
    <t>Grupo B</t>
  </si>
  <si>
    <t>Grupo A1</t>
  </si>
  <si>
    <t>Fecha de datos</t>
  </si>
  <si>
    <t>Grupos:</t>
  </si>
  <si>
    <t xml:space="preserve">01 y Autónomos licenciados e ingenieros </t>
  </si>
  <si>
    <t>03, 04 ,05 , 08 y Autónomos en general</t>
  </si>
  <si>
    <t>06,10, 11, 12 y empleadas hogar</t>
  </si>
  <si>
    <t>02 y Autónomos Ingen. Técnicos y peritos</t>
  </si>
  <si>
    <t>07 y 09</t>
  </si>
  <si>
    <t>Número de hijos menores de 25 años o con discapacidad cualquiera que sea su edad</t>
  </si>
  <si>
    <t>DATOS NECESARIOS PARA CÁLCULO PENSIÓN</t>
  </si>
  <si>
    <t>Sexo</t>
  </si>
  <si>
    <t>Hombre</t>
  </si>
  <si>
    <t>Sólo los periodos no incluidos en Hoja de Servicio</t>
  </si>
  <si>
    <t>DATOS NECESARIOS PARA CÁLCULO SUELDO</t>
  </si>
  <si>
    <t>DATOS NECESARIOS PARA CÁLCULO % RETENCIÓN IRPF</t>
  </si>
  <si>
    <t>HOJA DE SERVICIO</t>
  </si>
  <si>
    <t>VIDA LABORAL</t>
  </si>
  <si>
    <t>Fecha 65 años</t>
  </si>
  <si>
    <t>HOJA DE SERVICIO. Servicios para la Administración Pública</t>
  </si>
  <si>
    <t>Tiempo trabajo fuera de la Administración Pública</t>
  </si>
  <si>
    <t>SITUACIONES QUE AUMENTAN EL PERIODO COTIZADO</t>
  </si>
  <si>
    <t>Fecha Jubilación</t>
  </si>
  <si>
    <t xml:space="preserve">Edad en fecha jubilación: </t>
  </si>
  <si>
    <t>Total tiempo cotizado</t>
  </si>
  <si>
    <t>Extra Sueldo Base</t>
  </si>
  <si>
    <t xml:space="preserve">Trienios </t>
  </si>
  <si>
    <t xml:space="preserve">Complem. Destino </t>
  </si>
  <si>
    <t>Complem. Específico</t>
  </si>
  <si>
    <t>Catedrático</t>
  </si>
  <si>
    <t>Inspector</t>
  </si>
  <si>
    <t>Extra Trienios</t>
  </si>
  <si>
    <t xml:space="preserve">Extra Complem. Destino </t>
  </si>
  <si>
    <t>Adicional Complem. Específico</t>
  </si>
  <si>
    <t>1 sexenio</t>
  </si>
  <si>
    <t>2 sexenios</t>
  </si>
  <si>
    <t>3 sexenios</t>
  </si>
  <si>
    <t>4 sexenios</t>
  </si>
  <si>
    <t>5 sexenios</t>
  </si>
  <si>
    <t>1 sexenio Extra</t>
  </si>
  <si>
    <t>2 sexenios Extra</t>
  </si>
  <si>
    <t>3 sexenios Extra</t>
  </si>
  <si>
    <t>4 sexenios Extra</t>
  </si>
  <si>
    <t>5 sexenios Extra</t>
  </si>
  <si>
    <t>Nº Trienios</t>
  </si>
  <si>
    <t>Nº Sexenios</t>
  </si>
  <si>
    <t>Maestros 1º y 2º ESO</t>
  </si>
  <si>
    <t>Años, meses, días</t>
  </si>
  <si>
    <t>Residencia</t>
  </si>
  <si>
    <t>IRPF</t>
  </si>
  <si>
    <t>IRPF Mes</t>
  </si>
  <si>
    <t>Mes Neto</t>
  </si>
  <si>
    <t>IRPF Mes Extra</t>
  </si>
  <si>
    <t>Mes Neto Extra</t>
  </si>
  <si>
    <t>Anual neto</t>
  </si>
  <si>
    <t>IRPF Año</t>
  </si>
  <si>
    <t>Mes Bruto</t>
  </si>
  <si>
    <t>Extra Bruto</t>
  </si>
  <si>
    <t>Año Bruto</t>
  </si>
  <si>
    <t>Anual Bruto</t>
  </si>
  <si>
    <t>Mensual Bruto</t>
  </si>
  <si>
    <t>% IRPF</t>
  </si>
  <si>
    <t>días</t>
  </si>
  <si>
    <t>RETRIBUCIONES</t>
  </si>
  <si>
    <t>MÁXIMO</t>
  </si>
  <si>
    <t>Anual Neto</t>
  </si>
  <si>
    <t xml:space="preserve">Incapacidad:  </t>
  </si>
  <si>
    <t xml:space="preserve">Hijos antes comenzar a trabajar:  </t>
  </si>
  <si>
    <t xml:space="preserve">Servicio Militar :  </t>
  </si>
  <si>
    <t xml:space="preserve">     Diferencia Pensión - Sueldo</t>
  </si>
  <si>
    <t>Cotizado Administración pública</t>
  </si>
  <si>
    <t>Aumento por jubilación por incapacidad</t>
  </si>
  <si>
    <t xml:space="preserve">Hijos nacidos estando sin cotizar:   </t>
  </si>
  <si>
    <t>Servicio Militar, tiempo superior al obligatorio del momento en que se realizó</t>
  </si>
  <si>
    <t>Introducir los siguientes datos para poder realizar la estimación de la pensión comparándola con pensión máxima y con el sueldo</t>
  </si>
  <si>
    <t>Mes sin extra (Neto)</t>
  </si>
  <si>
    <t>Mes con extra (Neto)</t>
  </si>
  <si>
    <t>Estimación de la pensión comparándola con pensión máxima y con el sueldo</t>
  </si>
  <si>
    <t>Recuperar el Plan de Pensiones depositado en CASER</t>
  </si>
  <si>
    <t>Información</t>
  </si>
  <si>
    <t>Indemnización MUFACE jubilación</t>
  </si>
  <si>
    <t>Ir a Vida Laboral</t>
  </si>
  <si>
    <t>Días para 30 años</t>
  </si>
  <si>
    <t>Días para 35 años</t>
  </si>
  <si>
    <t>Fecha cumple 60 años</t>
  </si>
  <si>
    <t>Fecha cumple 65 años</t>
  </si>
  <si>
    <t xml:space="preserve">(para el cálculo, de estos tres datos, en la pestaña "Datos" la fecha de jubilación y la de la hoja de servicio debe ser la misma) </t>
  </si>
  <si>
    <t>INCREMENTO COTIZACIÓN por jubilación por incapacidad</t>
  </si>
  <si>
    <t>INCREMENTO COTIZACIÓN por diferencia entre fecha emisión certificado hoja servicio y fecha jubilación</t>
  </si>
  <si>
    <t>Total de trienios</t>
  </si>
  <si>
    <t xml:space="preserve">    Importe de la Pensión</t>
  </si>
  <si>
    <t xml:space="preserve">     Diferencia con pensión máxima</t>
  </si>
  <si>
    <t>Total incremento por diferencia entre fecha hoja servicio y fecha jubilación</t>
  </si>
  <si>
    <t>Total incremento por jubilación por incapacidad</t>
  </si>
  <si>
    <t>INCREMENTO COTIZACIÓN por hijos y por servicio militar</t>
  </si>
  <si>
    <t>Total incremento por hijos o por servicio militar</t>
  </si>
  <si>
    <t>TOTAL TIEMPO COTIZADO  A EFECTOS JUBILACIÓN</t>
  </si>
  <si>
    <t>Ver pestaña "Tiempos cotizados"</t>
  </si>
  <si>
    <t xml:space="preserve">Cotizaciones fuera educación. </t>
  </si>
  <si>
    <t>Total de hijos nacidos</t>
  </si>
  <si>
    <t>Haber Regulador Anual</t>
  </si>
  <si>
    <t>Haber Regulador Mensual</t>
  </si>
  <si>
    <t>Tiempo de trabajo TOTAL Efectivo</t>
  </si>
  <si>
    <t>Tiempo de Servio A1 más A2 más B más C1 más C2 más E</t>
  </si>
  <si>
    <t>Tiempo de Servio A1 más A2 más B más C1 más C2</t>
  </si>
  <si>
    <t>Tiempo de Servio A1 más A2 más B más C1</t>
  </si>
  <si>
    <t>Tiempo de Servio A1 más A2 más B</t>
  </si>
  <si>
    <t>Tiempo de Servio A1 más A2</t>
  </si>
  <si>
    <t>Tiempo de Servio A1</t>
  </si>
  <si>
    <t>TOTAL tiempo cotizado</t>
  </si>
  <si>
    <t>Límites máximo</t>
  </si>
  <si>
    <t>PENSIÓN BRUTA MENSUAL</t>
  </si>
  <si>
    <t>PENSIÓN BRUTA ANUAL</t>
  </si>
  <si>
    <t>Importe Bruto</t>
  </si>
  <si>
    <t>Cálculo de la Pensión de Jubilación 2018 (adaptado a presupuesto 2018)</t>
  </si>
  <si>
    <t>Pasar días a años meses y días</t>
  </si>
  <si>
    <t>Pasar años, meses y días a días</t>
  </si>
  <si>
    <t>An</t>
  </si>
  <si>
    <t>En la fecha de la jubilación</t>
  </si>
  <si>
    <t>Mujeres Incremento de pensión en jubilación forzosa o incapacidad con 2 o más hijos</t>
  </si>
  <si>
    <t>IMPORTE PENSIÓN 2018</t>
  </si>
  <si>
    <t>Tiempo entre fecha hoja servicio y fecha jubilación</t>
  </si>
  <si>
    <t xml:space="preserve">Diferencias de fechas </t>
  </si>
  <si>
    <t xml:space="preserve">     Sueldo en fecha hoja de servicio</t>
  </si>
  <si>
    <t>Aumento cotizaciones</t>
  </si>
  <si>
    <t>Tiempo total cotizado</t>
  </si>
  <si>
    <t>Aumentos de cotizaciones</t>
  </si>
  <si>
    <t>Detalle de los aumentos de cotización:</t>
  </si>
  <si>
    <t>Número de trienios y sexenios en la fecha de la hoja de servicio</t>
  </si>
  <si>
    <t>Si existe servicio en el Grupo E, aparece el tiempo acumulado, en caso contrario aparece 0</t>
  </si>
  <si>
    <t>Seleccionar la opción que corresponda</t>
  </si>
  <si>
    <t>2 hijos</t>
  </si>
  <si>
    <t>3 hijos</t>
  </si>
  <si>
    <t>Más de 3 hijos</t>
  </si>
  <si>
    <t>Aplicación realizada por DOCENTES DE CANARIAS-INSUCAN (DCI)</t>
  </si>
  <si>
    <t>Cálculo de la Pensión de Jubilación 2019 (Provisional)</t>
  </si>
  <si>
    <t>Falta para</t>
  </si>
  <si>
    <t>Nuevo trienio</t>
  </si>
  <si>
    <t>Nuevo sexenio</t>
  </si>
  <si>
    <t>30 años cotizados</t>
  </si>
  <si>
    <t>Cuerpo</t>
  </si>
  <si>
    <t>510-Inspección</t>
  </si>
  <si>
    <t>511-Catedráticos</t>
  </si>
  <si>
    <t>590-Profesores Enseñanza Secundaria</t>
  </si>
  <si>
    <t>592-Profesores de Escuelas Oficiales de Idiomas</t>
  </si>
  <si>
    <t>594-Profesores de Música y Artes Escénicas</t>
  </si>
  <si>
    <t>595-Profesores de Artes Plásticas y Diseño</t>
  </si>
  <si>
    <t>591-Profesores Técnicos de Formación Profesional</t>
  </si>
  <si>
    <t>596-Maestros de Taller de Artes Plásticas y Diseño</t>
  </si>
  <si>
    <t>597-Maestros</t>
  </si>
  <si>
    <t>Nivel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</si>
  <si>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</si>
  <si>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</si>
  <si>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</si>
  <si>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</si>
  <si>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</si>
  <si>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</si>
  <si>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</si>
  <si>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</si>
  <si>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</si>
  <si>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</si>
  <si>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</si>
  <si>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</si>
  <si>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</si>
  <si>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</si>
  <si>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</si>
  <si>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</si>
  <si>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</si>
  <si>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</si>
  <si>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Residencia Isla Capitalina</t>
  </si>
  <si>
    <t>Director/ra IES, CEO, EA. Centro Tipo A (1650 o más Alumnos)</t>
  </si>
  <si>
    <t>Residencia Isla No Capitalina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</si>
  <si>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</si>
  <si>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</si>
  <si>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</si>
  <si>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</si>
  <si>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</si>
  <si>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</si>
  <si>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</si>
  <si>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</si>
  <si>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</si>
  <si>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</si>
  <si>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</si>
  <si>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</si>
  <si>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</si>
  <si>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</si>
  <si>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</si>
  <si>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</si>
  <si>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</si>
  <si>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</si>
  <si>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</si>
  <si>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</si>
  <si>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</si>
  <si>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</si>
  <si>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</si>
  <si>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</si>
  <si>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</si>
  <si>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 de Centros de Profesores</t>
  </si>
  <si>
    <t>Director de Residencia Escolar Permanente</t>
  </si>
  <si>
    <t>Director de Residencia Escolar</t>
  </si>
  <si>
    <t>Maestros de Ocio con Residencia Permanente</t>
  </si>
  <si>
    <t>Coordinador EOEP</t>
  </si>
  <si>
    <t>Coordinador de Servicios Centrales. Tipo A1 (A)</t>
  </si>
  <si>
    <t>Coordinador de Servicios Centrales. Tipo A2 (B)</t>
  </si>
  <si>
    <t>Hora Lectiva Complementaria, Refuerzo Educativo. Grupo A1</t>
  </si>
  <si>
    <t>Hora Lectiva Complementaria, Refuerzo Educativo. Grupo A2</t>
  </si>
  <si>
    <t>Maestros de Primero y Segundo de Enseñanza Secundaria Obligatoria</t>
  </si>
  <si>
    <t>Jefe de Departamento</t>
  </si>
  <si>
    <t>Tutoría</t>
  </si>
  <si>
    <t>Coordinación en convivencia</t>
  </si>
  <si>
    <t>Coordinación en prevención de riesgos laborales</t>
  </si>
  <si>
    <t>Coordinación en tecnologías de la información y la comunicación (TIC)</t>
  </si>
  <si>
    <t>Cuando la fecha de los datos de hoja de Servicio es distinta a la fecha de la jubilación la aplicación añade la diferencia para el cálculo</t>
  </si>
  <si>
    <t>Ingreso Bruto</t>
  </si>
  <si>
    <t>IMPORTE PENSIÓN 2020</t>
  </si>
  <si>
    <t>En la fecha:</t>
  </si>
  <si>
    <t xml:space="preserve">Coordinador/a Formación en Centros de Trabajo </t>
  </si>
  <si>
    <t>HABER REGULADO PENSIONES 2021</t>
  </si>
  <si>
    <t>RETRIBUCIONES 2021</t>
  </si>
  <si>
    <t>Cálculo de los tiempos cotizados para la Pensión de Jubilación 2021</t>
  </si>
  <si>
    <t>Complemento Especial Responsabilidad:</t>
  </si>
  <si>
    <t>Otros complementos: Jefe departamento, Encargado comedor, Maestros en Residencia, otros</t>
  </si>
  <si>
    <t>Otros complementos: Tutoría, AICLE/PILE, Coordinación</t>
  </si>
  <si>
    <t>Impartición docencia en lengua extranjera. Maestros de Inglés sin B2, ni C1, ni C2</t>
  </si>
  <si>
    <t>Impartición docencia en lengua extranjera. Profesorado con B2</t>
  </si>
  <si>
    <t>Impartición docencia en lengua extranjera. Profesorado con C1 o C2</t>
  </si>
  <si>
    <t>Coordinación impartición docencia en lengua extranjera. Nivel B2</t>
  </si>
  <si>
    <t>Coordinación impartición docencia en lengua extranjera. Nivel C1 o C2</t>
  </si>
  <si>
    <t xml:space="preserve">Beneficio por cuidado de hijo (Introducir número de días del certificado) </t>
  </si>
  <si>
    <t xml:space="preserve">Por hijos nacidos estando sin cotizar en periodo entre 9 meses antes nacimiento y 6 años después del nacimiento: </t>
  </si>
  <si>
    <t>Por hijos nacidos antes de comenzar a trabajar (Introducir número de días del certificado)</t>
  </si>
  <si>
    <t>597-Maestros (1º y 2º ESO)</t>
  </si>
  <si>
    <t>Estimación de la Pensión de Jubilación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</si>
</sst>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.00_ ;[Red]\-#,##0.00\ "/>
    <numFmt numFmtId="165" formatCode="#,##0.00\ &quot;€&quot;"/>
    <numFmt numFmtId="166" formatCode="#,##0.0"/>
    <numFmt numFmtId="167" formatCode="0.0%"/>
    <numFmt numFmtId="168" formatCode="#,##0.000"/>
  </numFmts>
  <fonts count="4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sz val="13.5"/>
      <name val="Arial"/>
      <family val="2"/>
    </font>
    <font>
      <b/>
      <i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10"/>
      <color rgb="FF404040"/>
      <name val="Arial"/>
      <family val="2"/>
    </font>
    <font>
      <b/>
      <sz val="14"/>
      <color theme="9" tint="-0.499984740745262"/>
      <name val="Arial"/>
      <family val="2"/>
    </font>
    <font>
      <b/>
      <sz val="12"/>
      <color theme="1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48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2"/>
      <color theme="1" tint="0.249977111117893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0"/>
      <color rgb="FFFF0000"/>
      <name val="Arial"/>
      <family val="2"/>
    </font>
    <font>
      <b/>
      <u/>
      <sz val="10"/>
      <color indexed="12"/>
      <name val="Arial"/>
      <family val="2"/>
    </font>
    <font>
      <b/>
      <u/>
      <sz val="10"/>
      <color rgb="FF0000FF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9" tint="-0.249977111117893"/>
      <name val="Arial"/>
      <family val="2"/>
    </font>
    <font>
      <sz val="14"/>
      <name val="Arial"/>
      <family val="2"/>
    </font>
    <font>
      <sz val="1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BF2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8B07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33">
    <xf numFmtId="0" fontId="0" fillId="0" borderId="0" xfId="0"/>
    <xf numFmtId="0" fontId="0" fillId="0" borderId="0" xfId="0" applyProtection="1">
      <protection hidden="1"/>
    </xf>
    <xf numFmtId="0" fontId="5" fillId="2" borderId="0" xfId="0" applyFont="1" applyFill="1" applyBorder="1" applyProtection="1">
      <protection hidden="1"/>
    </xf>
    <xf numFmtId="0" fontId="5" fillId="0" borderId="0" xfId="0" applyFont="1" applyProtection="1">
      <protection hidden="1"/>
    </xf>
    <xf numFmtId="10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Protection="1">
      <protection hidden="1"/>
    </xf>
    <xf numFmtId="4" fontId="0" fillId="0" borderId="0" xfId="0" applyNumberFormat="1" applyProtection="1">
      <protection hidden="1"/>
    </xf>
    <xf numFmtId="0" fontId="0" fillId="0" borderId="5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7" xfId="0" applyBorder="1" applyProtection="1">
      <protection hidden="1"/>
    </xf>
    <xf numFmtId="0" fontId="4" fillId="3" borderId="2" xfId="0" applyFont="1" applyFill="1" applyBorder="1" applyAlignment="1" applyProtection="1">
      <alignment vertical="center" wrapText="1"/>
      <protection hidden="1"/>
    </xf>
    <xf numFmtId="10" fontId="0" fillId="0" borderId="0" xfId="2" applyNumberFormat="1" applyFont="1" applyProtection="1">
      <protection hidden="1"/>
    </xf>
    <xf numFmtId="0" fontId="13" fillId="0" borderId="6" xfId="0" applyFont="1" applyBorder="1" applyAlignment="1" applyProtection="1">
      <alignment horizontal="center" wrapText="1"/>
      <protection hidden="1"/>
    </xf>
    <xf numFmtId="3" fontId="0" fillId="15" borderId="2" xfId="0" applyNumberFormat="1" applyFill="1" applyBorder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0" fillId="11" borderId="0" xfId="0" applyNumberFormat="1" applyFill="1" applyProtection="1">
      <protection hidden="1"/>
    </xf>
    <xf numFmtId="0" fontId="0" fillId="11" borderId="0" xfId="0" applyFill="1" applyProtection="1">
      <protection hidden="1"/>
    </xf>
    <xf numFmtId="4" fontId="0" fillId="11" borderId="0" xfId="0" applyNumberFormat="1" applyFill="1" applyProtection="1">
      <protection hidden="1"/>
    </xf>
    <xf numFmtId="4" fontId="0" fillId="16" borderId="2" xfId="0" applyNumberFormat="1" applyFill="1" applyBorder="1" applyProtection="1">
      <protection hidden="1"/>
    </xf>
    <xf numFmtId="4" fontId="0" fillId="11" borderId="2" xfId="0" applyNumberFormat="1" applyFill="1" applyBorder="1" applyProtection="1">
      <protection hidden="1"/>
    </xf>
    <xf numFmtId="0" fontId="4" fillId="14" borderId="2" xfId="0" applyFont="1" applyFill="1" applyBorder="1" applyAlignment="1" applyProtection="1">
      <alignment vertical="center" wrapText="1"/>
      <protection hidden="1"/>
    </xf>
    <xf numFmtId="0" fontId="9" fillId="0" borderId="0" xfId="1" applyAlignment="1" applyProtection="1"/>
    <xf numFmtId="0" fontId="15" fillId="0" borderId="0" xfId="0" applyFont="1" applyAlignment="1">
      <alignment horizontal="left" vertical="center"/>
    </xf>
    <xf numFmtId="0" fontId="9" fillId="0" borderId="0" xfId="1" applyAlignment="1" applyProtection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/>
    <xf numFmtId="4" fontId="0" fillId="18" borderId="2" xfId="0" applyNumberFormat="1" applyFill="1" applyBorder="1" applyProtection="1">
      <protection hidden="1"/>
    </xf>
    <xf numFmtId="4" fontId="0" fillId="19" borderId="2" xfId="0" applyNumberFormat="1" applyFill="1" applyBorder="1" applyProtection="1">
      <protection hidden="1"/>
    </xf>
    <xf numFmtId="4" fontId="0" fillId="7" borderId="2" xfId="0" applyNumberFormat="1" applyFill="1" applyBorder="1" applyProtection="1">
      <protection hidden="1"/>
    </xf>
    <xf numFmtId="4" fontId="0" fillId="5" borderId="2" xfId="0" applyNumberFormat="1" applyFill="1" applyBorder="1" applyProtection="1">
      <protection hidden="1"/>
    </xf>
    <xf numFmtId="4" fontId="0" fillId="20" borderId="2" xfId="0" applyNumberFormat="1" applyFill="1" applyBorder="1" applyProtection="1">
      <protection hidden="1"/>
    </xf>
    <xf numFmtId="4" fontId="0" fillId="17" borderId="2" xfId="0" applyNumberFormat="1" applyFill="1" applyBorder="1" applyProtection="1">
      <protection hidden="1"/>
    </xf>
    <xf numFmtId="10" fontId="0" fillId="0" borderId="2" xfId="0" applyNumberFormat="1" applyBorder="1" applyAlignment="1" applyProtection="1">
      <alignment horizontal="center"/>
      <protection hidden="1"/>
    </xf>
    <xf numFmtId="0" fontId="18" fillId="0" borderId="0" xfId="1" applyFont="1" applyAlignment="1" applyProtection="1"/>
    <xf numFmtId="0" fontId="1" fillId="3" borderId="2" xfId="0" applyFont="1" applyFill="1" applyBorder="1" applyAlignment="1" applyProtection="1">
      <alignment vertical="center" wrapText="1"/>
      <protection hidden="1"/>
    </xf>
    <xf numFmtId="0" fontId="1" fillId="14" borderId="2" xfId="0" applyFont="1" applyFill="1" applyBorder="1" applyAlignment="1" applyProtection="1">
      <alignment vertical="center" wrapText="1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5" fillId="11" borderId="0" xfId="0" applyFont="1" applyFill="1" applyProtection="1">
      <protection hidden="1"/>
    </xf>
    <xf numFmtId="3" fontId="6" fillId="10" borderId="2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3" fontId="3" fillId="10" borderId="2" xfId="0" applyNumberFormat="1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" fillId="0" borderId="0" xfId="0" applyFont="1" applyProtection="1">
      <protection hidden="1"/>
    </xf>
    <xf numFmtId="0" fontId="0" fillId="10" borderId="0" xfId="0" applyFill="1" applyAlignment="1" applyProtection="1">
      <alignment horizontal="center"/>
      <protection hidden="1"/>
    </xf>
    <xf numFmtId="0" fontId="1" fillId="11" borderId="0" xfId="0" applyFont="1" applyFill="1" applyProtection="1">
      <protection hidden="1"/>
    </xf>
    <xf numFmtId="0" fontId="0" fillId="11" borderId="0" xfId="0" applyFill="1" applyAlignment="1" applyProtection="1">
      <alignment horizontal="center"/>
      <protection hidden="1"/>
    </xf>
    <xf numFmtId="0" fontId="0" fillId="11" borderId="2" xfId="0" applyFill="1" applyBorder="1" applyAlignment="1" applyProtection="1">
      <alignment horizontal="center"/>
      <protection locked="0"/>
    </xf>
    <xf numFmtId="0" fontId="1" fillId="14" borderId="2" xfId="0" applyFont="1" applyFill="1" applyBorder="1" applyAlignment="1" applyProtection="1">
      <alignment horizontal="center"/>
      <protection hidden="1"/>
    </xf>
    <xf numFmtId="0" fontId="1" fillId="0" borderId="6" xfId="0" applyFont="1" applyFill="1" applyBorder="1" applyAlignment="1" applyProtection="1">
      <alignment vertical="center" wrapText="1"/>
      <protection hidden="1"/>
    </xf>
    <xf numFmtId="0" fontId="1" fillId="0" borderId="2" xfId="0" applyFont="1" applyBorder="1" applyProtection="1">
      <protection hidden="1"/>
    </xf>
    <xf numFmtId="4" fontId="0" fillId="6" borderId="2" xfId="0" applyNumberFormat="1" applyFill="1" applyBorder="1" applyProtection="1">
      <protection hidden="1"/>
    </xf>
    <xf numFmtId="3" fontId="1" fillId="15" borderId="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12" fillId="22" borderId="12" xfId="0" applyNumberFormat="1" applyFont="1" applyFill="1" applyBorder="1" applyAlignment="1">
      <alignment horizontal="center"/>
    </xf>
    <xf numFmtId="165" fontId="12" fillId="22" borderId="19" xfId="0" applyNumberFormat="1" applyFont="1" applyFill="1" applyBorder="1" applyAlignment="1">
      <alignment horizontal="center"/>
    </xf>
    <xf numFmtId="0" fontId="12" fillId="22" borderId="14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vertical="center" wrapText="1"/>
      <protection hidden="1"/>
    </xf>
    <xf numFmtId="165" fontId="1" fillId="0" borderId="11" xfId="0" applyNumberFormat="1" applyFont="1" applyBorder="1"/>
    <xf numFmtId="165" fontId="1" fillId="0" borderId="3" xfId="0" applyNumberFormat="1" applyFont="1" applyBorder="1"/>
    <xf numFmtId="10" fontId="1" fillId="0" borderId="4" xfId="0" applyNumberFormat="1" applyFont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10" fontId="1" fillId="0" borderId="13" xfId="0" applyNumberFormat="1" applyFont="1" applyBorder="1"/>
    <xf numFmtId="165" fontId="1" fillId="0" borderId="12" xfId="0" applyNumberFormat="1" applyFont="1" applyBorder="1"/>
    <xf numFmtId="165" fontId="1" fillId="0" borderId="19" xfId="0" applyNumberFormat="1" applyFont="1" applyBorder="1"/>
    <xf numFmtId="10" fontId="1" fillId="0" borderId="14" xfId="0" applyNumberFormat="1" applyFon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" xfId="0" applyNumberFormat="1" applyBorder="1"/>
    <xf numFmtId="165" fontId="0" fillId="0" borderId="13" xfId="0" applyNumberFormat="1" applyBorder="1"/>
    <xf numFmtId="0" fontId="1" fillId="0" borderId="6" xfId="0" applyFont="1" applyBorder="1" applyProtection="1">
      <protection hidden="1"/>
    </xf>
    <xf numFmtId="10" fontId="0" fillId="0" borderId="0" xfId="0" applyNumberFormat="1"/>
    <xf numFmtId="165" fontId="3" fillId="3" borderId="12" xfId="0" applyNumberFormat="1" applyFont="1" applyFill="1" applyBorder="1"/>
    <xf numFmtId="165" fontId="0" fillId="0" borderId="14" xfId="0" applyNumberFormat="1" applyBorder="1"/>
    <xf numFmtId="10" fontId="23" fillId="0" borderId="0" xfId="0" applyNumberFormat="1" applyFont="1" applyBorder="1" applyAlignment="1">
      <alignment horizontal="center"/>
    </xf>
    <xf numFmtId="10" fontId="3" fillId="6" borderId="2" xfId="2" applyNumberFormat="1" applyFont="1" applyFill="1" applyBorder="1" applyAlignment="1" applyProtection="1">
      <alignment horizontal="center"/>
      <protection hidden="1"/>
    </xf>
    <xf numFmtId="10" fontId="12" fillId="22" borderId="10" xfId="0" applyNumberFormat="1" applyFont="1" applyFill="1" applyBorder="1" applyAlignment="1">
      <alignment horizontal="center"/>
    </xf>
    <xf numFmtId="10" fontId="1" fillId="0" borderId="0" xfId="0" applyNumberFormat="1" applyFont="1" applyBorder="1"/>
    <xf numFmtId="165" fontId="3" fillId="3" borderId="17" xfId="0" applyNumberFormat="1" applyFont="1" applyFill="1" applyBorder="1"/>
    <xf numFmtId="165" fontId="24" fillId="0" borderId="18" xfId="0" applyNumberFormat="1" applyFont="1" applyBorder="1" applyAlignment="1">
      <alignment horizontal="center"/>
    </xf>
    <xf numFmtId="10" fontId="24" fillId="0" borderId="21" xfId="0" applyNumberFormat="1" applyFont="1" applyBorder="1" applyAlignment="1">
      <alignment horizontal="center"/>
    </xf>
    <xf numFmtId="166" fontId="0" fillId="15" borderId="2" xfId="0" applyNumberFormat="1" applyFill="1" applyBorder="1" applyAlignment="1" applyProtection="1">
      <alignment horizontal="center"/>
      <protection locked="0"/>
    </xf>
    <xf numFmtId="0" fontId="1" fillId="23" borderId="0" xfId="0" applyFont="1" applyFill="1" applyBorder="1" applyProtection="1">
      <protection hidden="1"/>
    </xf>
    <xf numFmtId="0" fontId="0" fillId="23" borderId="0" xfId="0" applyFill="1" applyBorder="1" applyProtection="1">
      <protection hidden="1"/>
    </xf>
    <xf numFmtId="4" fontId="0" fillId="11" borderId="2" xfId="0" applyNumberFormat="1" applyFill="1" applyBorder="1" applyAlignment="1" applyProtection="1">
      <alignment horizontal="center"/>
      <protection hidden="1"/>
    </xf>
    <xf numFmtId="0" fontId="7" fillId="26" borderId="2" xfId="0" applyFont="1" applyFill="1" applyBorder="1" applyAlignment="1" applyProtection="1">
      <alignment horizontal="center" vertical="center" wrapText="1"/>
      <protection hidden="1"/>
    </xf>
    <xf numFmtId="0" fontId="3" fillId="26" borderId="2" xfId="0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center"/>
      <protection hidden="1"/>
    </xf>
    <xf numFmtId="0" fontId="26" fillId="23" borderId="0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8" borderId="0" xfId="0" applyFont="1" applyFill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4" fontId="5" fillId="2" borderId="2" xfId="0" applyNumberFormat="1" applyFont="1" applyFill="1" applyBorder="1" applyAlignment="1" applyProtection="1">
      <alignment horizontal="center"/>
      <protection hidden="1"/>
    </xf>
    <xf numFmtId="4" fontId="5" fillId="2" borderId="5" xfId="0" applyNumberFormat="1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Protection="1">
      <protection hidden="1"/>
    </xf>
    <xf numFmtId="0" fontId="5" fillId="15" borderId="2" xfId="0" applyFont="1" applyFill="1" applyBorder="1" applyAlignment="1" applyProtection="1">
      <alignment horizontal="center" vertical="center" wrapText="1"/>
      <protection hidden="1"/>
    </xf>
    <xf numFmtId="4" fontId="1" fillId="10" borderId="2" xfId="0" applyNumberFormat="1" applyFont="1" applyFill="1" applyBorder="1" applyProtection="1">
      <protection hidden="1"/>
    </xf>
    <xf numFmtId="0" fontId="0" fillId="18" borderId="2" xfId="0" applyFill="1" applyBorder="1" applyAlignment="1" applyProtection="1">
      <alignment horizontal="center" wrapText="1"/>
      <protection hidden="1"/>
    </xf>
    <xf numFmtId="0" fontId="0" fillId="19" borderId="2" xfId="0" applyFill="1" applyBorder="1" applyAlignment="1" applyProtection="1">
      <alignment horizontal="center" wrapText="1"/>
      <protection hidden="1"/>
    </xf>
    <xf numFmtId="0" fontId="0" fillId="7" borderId="2" xfId="0" applyFill="1" applyBorder="1" applyAlignment="1" applyProtection="1">
      <alignment horizontal="center" wrapText="1"/>
      <protection hidden="1"/>
    </xf>
    <xf numFmtId="0" fontId="0" fillId="5" borderId="2" xfId="0" applyFill="1" applyBorder="1" applyAlignment="1" applyProtection="1">
      <alignment horizontal="center" wrapText="1"/>
      <protection hidden="1"/>
    </xf>
    <xf numFmtId="0" fontId="0" fillId="20" borderId="2" xfId="0" applyFill="1" applyBorder="1" applyAlignment="1" applyProtection="1">
      <alignment horizontal="center" wrapText="1"/>
      <protection hidden="1"/>
    </xf>
    <xf numFmtId="0" fontId="0" fillId="17" borderId="2" xfId="0" applyFill="1" applyBorder="1" applyAlignment="1" applyProtection="1">
      <alignment horizontal="center" wrapText="1"/>
      <protection hidden="1"/>
    </xf>
    <xf numFmtId="0" fontId="0" fillId="12" borderId="7" xfId="0" applyFill="1" applyBorder="1" applyProtection="1">
      <protection hidden="1"/>
    </xf>
    <xf numFmtId="0" fontId="0" fillId="12" borderId="5" xfId="0" applyFill="1" applyBorder="1" applyProtection="1">
      <protection hidden="1"/>
    </xf>
    <xf numFmtId="0" fontId="26" fillId="24" borderId="0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5" fillId="15" borderId="0" xfId="0" applyFont="1" applyFill="1" applyProtection="1">
      <protection hidden="1"/>
    </xf>
    <xf numFmtId="3" fontId="5" fillId="15" borderId="0" xfId="0" applyNumberFormat="1" applyFont="1" applyFill="1" applyProtection="1">
      <protection hidden="1"/>
    </xf>
    <xf numFmtId="10" fontId="5" fillId="15" borderId="0" xfId="2" applyNumberFormat="1" applyFont="1" applyFill="1" applyProtection="1">
      <protection hidden="1"/>
    </xf>
    <xf numFmtId="4" fontId="5" fillId="15" borderId="0" xfId="0" applyNumberFormat="1" applyFont="1" applyFill="1" applyProtection="1">
      <protection hidden="1"/>
    </xf>
    <xf numFmtId="10" fontId="5" fillId="11" borderId="0" xfId="0" applyNumberFormat="1" applyFont="1" applyFill="1" applyProtection="1">
      <protection hidden="1"/>
    </xf>
    <xf numFmtId="3" fontId="5" fillId="11" borderId="0" xfId="0" applyNumberFormat="1" applyFont="1" applyFill="1" applyProtection="1">
      <protection hidden="1"/>
    </xf>
    <xf numFmtId="4" fontId="1" fillId="11" borderId="2" xfId="0" applyNumberFormat="1" applyFont="1" applyFill="1" applyBorder="1" applyProtection="1">
      <protection hidden="1"/>
    </xf>
    <xf numFmtId="4" fontId="5" fillId="11" borderId="0" xfId="0" applyNumberFormat="1" applyFont="1" applyFill="1" applyProtection="1">
      <protection hidden="1"/>
    </xf>
    <xf numFmtId="0" fontId="20" fillId="37" borderId="0" xfId="0" applyFont="1" applyFill="1" applyBorder="1" applyAlignment="1" applyProtection="1">
      <alignment vertical="center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vertical="center"/>
      <protection hidden="1"/>
    </xf>
    <xf numFmtId="0" fontId="26" fillId="24" borderId="0" xfId="0" applyFont="1" applyFill="1" applyBorder="1" applyAlignment="1" applyProtection="1">
      <protection hidden="1"/>
    </xf>
    <xf numFmtId="0" fontId="0" fillId="24" borderId="0" xfId="0" applyFill="1" applyProtection="1">
      <protection hidden="1"/>
    </xf>
    <xf numFmtId="0" fontId="0" fillId="24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19" fillId="5" borderId="0" xfId="0" applyFont="1" applyFill="1" applyBorder="1" applyProtection="1">
      <protection hidden="1"/>
    </xf>
    <xf numFmtId="0" fontId="25" fillId="5" borderId="0" xfId="0" applyFont="1" applyFill="1" applyBorder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14" fontId="0" fillId="11" borderId="0" xfId="0" applyNumberFormat="1" applyFill="1" applyAlignment="1" applyProtection="1">
      <alignment horizontal="center"/>
      <protection hidden="1"/>
    </xf>
    <xf numFmtId="0" fontId="1" fillId="5" borderId="0" xfId="0" applyFont="1" applyFill="1" applyProtection="1">
      <protection hidden="1"/>
    </xf>
    <xf numFmtId="3" fontId="0" fillId="5" borderId="0" xfId="0" applyNumberFormat="1" applyFill="1" applyProtection="1">
      <protection hidden="1"/>
    </xf>
    <xf numFmtId="0" fontId="19" fillId="36" borderId="0" xfId="0" applyFont="1" applyFill="1" applyBorder="1" applyProtection="1">
      <protection hidden="1"/>
    </xf>
    <xf numFmtId="0" fontId="0" fillId="36" borderId="0" xfId="0" applyFill="1" applyProtection="1">
      <protection hidden="1"/>
    </xf>
    <xf numFmtId="0" fontId="1" fillId="36" borderId="0" xfId="0" applyFont="1" applyFill="1" applyProtection="1">
      <protection hidden="1"/>
    </xf>
    <xf numFmtId="0" fontId="19" fillId="36" borderId="0" xfId="0" applyFont="1" applyFill="1" applyBorder="1" applyAlignment="1" applyProtection="1">
      <alignment horizontal="right"/>
      <protection hidden="1"/>
    </xf>
    <xf numFmtId="0" fontId="3" fillId="5" borderId="0" xfId="0" applyFont="1" applyFill="1" applyProtection="1">
      <protection hidden="1"/>
    </xf>
    <xf numFmtId="0" fontId="7" fillId="10" borderId="0" xfId="0" applyFont="1" applyFill="1" applyAlignment="1" applyProtection="1">
      <alignment horizontal="center" vertical="center"/>
      <protection hidden="1"/>
    </xf>
    <xf numFmtId="0" fontId="3" fillId="10" borderId="0" xfId="0" applyFont="1" applyFill="1" applyAlignment="1" applyProtection="1">
      <alignment horizontal="center" vertical="center"/>
      <protection hidden="1"/>
    </xf>
    <xf numFmtId="0" fontId="3" fillId="10" borderId="0" xfId="0" applyFont="1" applyFill="1" applyAlignment="1" applyProtection="1">
      <alignment horizontal="center" vertical="center" wrapText="1"/>
      <protection hidden="1"/>
    </xf>
    <xf numFmtId="0" fontId="3" fillId="10" borderId="0" xfId="0" applyFont="1" applyFill="1" applyAlignment="1" applyProtection="1">
      <alignment vertical="center"/>
      <protection hidden="1"/>
    </xf>
    <xf numFmtId="0" fontId="3" fillId="10" borderId="0" xfId="0" applyFont="1" applyFill="1" applyProtection="1">
      <protection hidden="1"/>
    </xf>
    <xf numFmtId="0" fontId="19" fillId="12" borderId="0" xfId="0" applyFont="1" applyFill="1" applyBorder="1" applyProtection="1">
      <protection hidden="1"/>
    </xf>
    <xf numFmtId="4" fontId="2" fillId="15" borderId="2" xfId="0" applyNumberFormat="1" applyFont="1" applyFill="1" applyBorder="1" applyAlignment="1" applyProtection="1">
      <alignment horizontal="center"/>
      <protection hidden="1"/>
    </xf>
    <xf numFmtId="0" fontId="2" fillId="12" borderId="0" xfId="0" applyFont="1" applyFill="1" applyAlignment="1" applyProtection="1">
      <alignment horizontal="center"/>
      <protection hidden="1"/>
    </xf>
    <xf numFmtId="0" fontId="2" fillId="12" borderId="0" xfId="0" applyFont="1" applyFill="1" applyProtection="1">
      <protection hidden="1"/>
    </xf>
    <xf numFmtId="10" fontId="2" fillId="15" borderId="2" xfId="2" applyNumberFormat="1" applyFont="1" applyFill="1" applyBorder="1" applyAlignment="1" applyProtection="1">
      <alignment horizontal="center"/>
      <protection hidden="1"/>
    </xf>
    <xf numFmtId="0" fontId="0" fillId="12" borderId="0" xfId="0" applyFill="1" applyProtection="1">
      <protection hidden="1"/>
    </xf>
    <xf numFmtId="0" fontId="19" fillId="10" borderId="0" xfId="0" applyFont="1" applyFill="1" applyBorder="1" applyProtection="1">
      <protection hidden="1"/>
    </xf>
    <xf numFmtId="4" fontId="19" fillId="10" borderId="0" xfId="0" applyNumberFormat="1" applyFont="1" applyFill="1" applyAlignment="1" applyProtection="1">
      <alignment horizontal="center"/>
      <protection hidden="1"/>
    </xf>
    <xf numFmtId="0" fontId="25" fillId="10" borderId="0" xfId="0" applyFont="1" applyFill="1" applyAlignment="1" applyProtection="1">
      <alignment horizontal="center"/>
      <protection hidden="1"/>
    </xf>
    <xf numFmtId="0" fontId="25" fillId="10" borderId="0" xfId="0" applyFont="1" applyFill="1" applyProtection="1">
      <protection hidden="1"/>
    </xf>
    <xf numFmtId="10" fontId="19" fillId="10" borderId="0" xfId="2" applyNumberFormat="1" applyFont="1" applyFill="1" applyAlignment="1" applyProtection="1">
      <alignment horizontal="center"/>
      <protection hidden="1"/>
    </xf>
    <xf numFmtId="0" fontId="19" fillId="10" borderId="0" xfId="0" applyFont="1" applyFill="1" applyProtection="1">
      <protection hidden="1"/>
    </xf>
    <xf numFmtId="164" fontId="0" fillId="10" borderId="0" xfId="0" applyNumberFormat="1" applyFill="1" applyAlignment="1" applyProtection="1">
      <alignment horizontal="center"/>
      <protection hidden="1"/>
    </xf>
    <xf numFmtId="10" fontId="0" fillId="10" borderId="0" xfId="2" applyNumberFormat="1" applyFont="1" applyFill="1" applyAlignment="1" applyProtection="1">
      <alignment horizontal="center"/>
      <protection hidden="1"/>
    </xf>
    <xf numFmtId="0" fontId="2" fillId="10" borderId="0" xfId="0" applyFont="1" applyFill="1" applyProtection="1">
      <protection hidden="1"/>
    </xf>
    <xf numFmtId="0" fontId="0" fillId="37" borderId="0" xfId="0" applyFill="1" applyProtection="1">
      <protection hidden="1"/>
    </xf>
    <xf numFmtId="0" fontId="0" fillId="37" borderId="0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1" fillId="37" borderId="0" xfId="0" applyFont="1" applyFill="1" applyProtection="1">
      <protection hidden="1"/>
    </xf>
    <xf numFmtId="0" fontId="0" fillId="18" borderId="0" xfId="0" applyFill="1" applyBorder="1" applyProtection="1">
      <protection hidden="1"/>
    </xf>
    <xf numFmtId="0" fontId="1" fillId="18" borderId="0" xfId="0" applyFont="1" applyFill="1" applyProtection="1">
      <protection hidden="1"/>
    </xf>
    <xf numFmtId="0" fontId="0" fillId="18" borderId="0" xfId="0" applyFill="1" applyProtection="1">
      <protection hidden="1"/>
    </xf>
    <xf numFmtId="0" fontId="3" fillId="18" borderId="0" xfId="0" applyFont="1" applyFill="1" applyProtection="1">
      <protection hidden="1"/>
    </xf>
    <xf numFmtId="4" fontId="0" fillId="18" borderId="0" xfId="0" applyNumberFormat="1" applyFill="1" applyProtection="1">
      <protection hidden="1"/>
    </xf>
    <xf numFmtId="0" fontId="3" fillId="18" borderId="0" xfId="0" applyFont="1" applyFill="1" applyBorder="1" applyProtection="1">
      <protection hidden="1"/>
    </xf>
    <xf numFmtId="0" fontId="19" fillId="23" borderId="0" xfId="0" applyFont="1" applyFill="1" applyBorder="1" applyProtection="1">
      <protection hidden="1"/>
    </xf>
    <xf numFmtId="0" fontId="19" fillId="23" borderId="0" xfId="0" applyFont="1" applyFill="1" applyBorder="1" applyAlignment="1" applyProtection="1">
      <protection hidden="1"/>
    </xf>
    <xf numFmtId="0" fontId="25" fillId="23" borderId="0" xfId="0" applyFont="1" applyFill="1" applyBorder="1" applyProtection="1">
      <protection hidden="1"/>
    </xf>
    <xf numFmtId="0" fontId="3" fillId="21" borderId="0" xfId="0" applyFont="1" applyFill="1" applyBorder="1" applyAlignment="1" applyProtection="1">
      <alignment horizontal="center"/>
      <protection hidden="1"/>
    </xf>
    <xf numFmtId="1" fontId="0" fillId="11" borderId="0" xfId="0" applyNumberFormat="1" applyFill="1" applyProtection="1">
      <protection hidden="1"/>
    </xf>
    <xf numFmtId="0" fontId="0" fillId="23" borderId="0" xfId="0" applyFill="1" applyBorder="1" applyAlignment="1" applyProtection="1">
      <alignment horizontal="center"/>
      <protection hidden="1"/>
    </xf>
    <xf numFmtId="0" fontId="0" fillId="23" borderId="0" xfId="0" applyFill="1" applyBorder="1" applyAlignment="1" applyProtection="1">
      <alignment horizontal="left"/>
      <protection hidden="1"/>
    </xf>
    <xf numFmtId="3" fontId="0" fillId="11" borderId="0" xfId="0" applyNumberFormat="1" applyFill="1" applyProtection="1">
      <protection hidden="1"/>
    </xf>
    <xf numFmtId="0" fontId="1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28" fillId="15" borderId="0" xfId="0" applyFont="1" applyFill="1" applyProtection="1">
      <protection hidden="1"/>
    </xf>
    <xf numFmtId="0" fontId="14" fillId="34" borderId="2" xfId="0" applyFont="1" applyFill="1" applyBorder="1" applyProtection="1">
      <protection hidden="1"/>
    </xf>
    <xf numFmtId="14" fontId="0" fillId="11" borderId="0" xfId="0" applyNumberFormat="1" applyFill="1" applyProtection="1">
      <protection hidden="1"/>
    </xf>
    <xf numFmtId="0" fontId="0" fillId="11" borderId="0" xfId="0" applyNumberFormat="1" applyFill="1" applyProtection="1">
      <protection hidden="1"/>
    </xf>
    <xf numFmtId="14" fontId="5" fillId="0" borderId="0" xfId="0" applyNumberFormat="1" applyFont="1" applyProtection="1">
      <protection hidden="1"/>
    </xf>
    <xf numFmtId="3" fontId="5" fillId="0" borderId="0" xfId="0" applyNumberFormat="1" applyFont="1" applyProtection="1">
      <protection hidden="1"/>
    </xf>
    <xf numFmtId="0" fontId="35" fillId="38" borderId="0" xfId="0" applyFont="1" applyFill="1" applyAlignment="1" applyProtection="1">
      <alignment horizontal="center"/>
      <protection hidden="1"/>
    </xf>
    <xf numFmtId="0" fontId="1" fillId="0" borderId="0" xfId="0" applyFont="1"/>
    <xf numFmtId="2" fontId="0" fillId="0" borderId="0" xfId="0" applyNumberFormat="1"/>
    <xf numFmtId="0" fontId="5" fillId="0" borderId="0" xfId="0" applyFont="1" applyBorder="1" applyAlignment="1" applyProtection="1">
      <alignment horizontal="center"/>
      <protection hidden="1"/>
    </xf>
    <xf numFmtId="4" fontId="1" fillId="11" borderId="0" xfId="0" applyNumberFormat="1" applyFont="1" applyFill="1" applyBorder="1" applyProtection="1">
      <protection hidden="1"/>
    </xf>
    <xf numFmtId="0" fontId="2" fillId="39" borderId="2" xfId="0" applyFont="1" applyFill="1" applyBorder="1" applyAlignment="1" applyProtection="1">
      <alignment horizontal="center" vertical="center" wrapText="1"/>
      <protection hidden="1"/>
    </xf>
    <xf numFmtId="0" fontId="3" fillId="39" borderId="2" xfId="0" applyFont="1" applyFill="1" applyBorder="1" applyAlignment="1" applyProtection="1">
      <alignment horizontal="center" vertical="center" wrapText="1"/>
      <protection hidden="1"/>
    </xf>
    <xf numFmtId="0" fontId="4" fillId="39" borderId="2" xfId="0" applyFont="1" applyFill="1" applyBorder="1" applyAlignment="1" applyProtection="1">
      <alignment vertical="center" wrapText="1"/>
      <protection hidden="1"/>
    </xf>
    <xf numFmtId="3" fontId="5" fillId="39" borderId="2" xfId="0" applyNumberFormat="1" applyFont="1" applyFill="1" applyBorder="1" applyAlignment="1" applyProtection="1">
      <alignment horizontal="center"/>
      <protection hidden="1"/>
    </xf>
    <xf numFmtId="0" fontId="6" fillId="39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5" fillId="39" borderId="2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13" borderId="27" xfId="0" applyFont="1" applyFill="1" applyBorder="1" applyAlignment="1" applyProtection="1">
      <alignment horizontal="center" vertical="center" wrapText="1"/>
      <protection hidden="1"/>
    </xf>
    <xf numFmtId="0" fontId="6" fillId="13" borderId="0" xfId="0" applyFont="1" applyFill="1" applyAlignment="1" applyProtection="1">
      <alignment horizontal="center" vertical="center"/>
      <protection hidden="1"/>
    </xf>
    <xf numFmtId="4" fontId="25" fillId="10" borderId="0" xfId="0" applyNumberFormat="1" applyFont="1" applyFill="1" applyAlignment="1" applyProtection="1">
      <alignment horizontal="center"/>
      <protection hidden="1"/>
    </xf>
    <xf numFmtId="10" fontId="25" fillId="10" borderId="0" xfId="2" applyNumberFormat="1" applyFont="1" applyFill="1" applyAlignment="1" applyProtection="1">
      <alignment horizontal="center"/>
      <protection hidden="1"/>
    </xf>
    <xf numFmtId="4" fontId="2" fillId="15" borderId="28" xfId="0" applyNumberFormat="1" applyFont="1" applyFill="1" applyBorder="1" applyAlignment="1" applyProtection="1">
      <alignment horizontal="center"/>
      <protection hidden="1"/>
    </xf>
    <xf numFmtId="0" fontId="3" fillId="39" borderId="29" xfId="0" applyFont="1" applyFill="1" applyBorder="1" applyAlignment="1" applyProtection="1">
      <alignment horizontal="center" vertical="center" wrapText="1"/>
      <protection hidden="1"/>
    </xf>
    <xf numFmtId="0" fontId="0" fillId="39" borderId="30" xfId="0" applyFill="1" applyBorder="1" applyProtection="1">
      <protection hidden="1"/>
    </xf>
    <xf numFmtId="4" fontId="25" fillId="39" borderId="30" xfId="0" applyNumberFormat="1" applyFont="1" applyFill="1" applyBorder="1" applyAlignment="1" applyProtection="1">
      <alignment horizontal="center"/>
      <protection hidden="1"/>
    </xf>
    <xf numFmtId="164" fontId="0" fillId="39" borderId="21" xfId="0" applyNumberFormat="1" applyFill="1" applyBorder="1" applyAlignment="1" applyProtection="1">
      <alignment horizontal="center"/>
      <protection hidden="1"/>
    </xf>
    <xf numFmtId="0" fontId="7" fillId="39" borderId="2" xfId="0" applyFont="1" applyFill="1" applyBorder="1" applyAlignment="1" applyProtection="1">
      <alignment horizontal="center" vertical="center" wrapText="1"/>
      <protection hidden="1"/>
    </xf>
    <xf numFmtId="0" fontId="1" fillId="39" borderId="2" xfId="0" applyFont="1" applyFill="1" applyBorder="1" applyAlignment="1" applyProtection="1">
      <alignment vertical="center" wrapText="1"/>
      <protection hidden="1"/>
    </xf>
    <xf numFmtId="0" fontId="1" fillId="12" borderId="2" xfId="0" applyFont="1" applyFill="1" applyBorder="1" applyAlignment="1" applyProtection="1">
      <alignment vertical="center" wrapText="1"/>
      <protection hidden="1"/>
    </xf>
    <xf numFmtId="0" fontId="36" fillId="5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9" fillId="27" borderId="2" xfId="0" applyFont="1" applyFill="1" applyBorder="1" applyAlignment="1" applyProtection="1">
      <alignment horizontal="center" vertical="center" wrapText="1"/>
      <protection hidden="1"/>
    </xf>
    <xf numFmtId="0" fontId="29" fillId="28" borderId="2" xfId="0" applyFont="1" applyFill="1" applyBorder="1" applyAlignment="1" applyProtection="1">
      <alignment horizontal="center" vertical="center" wrapText="1"/>
      <protection hidden="1"/>
    </xf>
    <xf numFmtId="0" fontId="29" fillId="29" borderId="2" xfId="0" applyFont="1" applyFill="1" applyBorder="1" applyAlignment="1" applyProtection="1">
      <alignment horizontal="center" vertical="center" wrapText="1"/>
      <protection hidden="1"/>
    </xf>
    <xf numFmtId="0" fontId="29" fillId="30" borderId="2" xfId="0" applyFont="1" applyFill="1" applyBorder="1" applyAlignment="1" applyProtection="1">
      <alignment horizontal="center" vertical="center" wrapText="1"/>
      <protection hidden="1"/>
    </xf>
    <xf numFmtId="0" fontId="29" fillId="18" borderId="2" xfId="0" applyFont="1" applyFill="1" applyBorder="1" applyAlignment="1" applyProtection="1">
      <alignment horizontal="center" vertical="center" wrapText="1"/>
      <protection hidden="1"/>
    </xf>
    <xf numFmtId="0" fontId="30" fillId="8" borderId="2" xfId="0" applyFont="1" applyFill="1" applyBorder="1" applyAlignment="1" applyProtection="1">
      <alignment horizontal="center" vertical="center" wrapText="1"/>
      <protection hidden="1"/>
    </xf>
    <xf numFmtId="0" fontId="29" fillId="31" borderId="5" xfId="0" applyFont="1" applyFill="1" applyBorder="1" applyAlignment="1" applyProtection="1">
      <alignment horizontal="center" vertical="center" wrapText="1"/>
      <protection hidden="1"/>
    </xf>
    <xf numFmtId="0" fontId="29" fillId="32" borderId="2" xfId="0" applyFont="1" applyFill="1" applyBorder="1" applyAlignment="1" applyProtection="1">
      <alignment horizontal="center" vertical="center" wrapText="1"/>
      <protection hidden="1"/>
    </xf>
    <xf numFmtId="0" fontId="29" fillId="33" borderId="2" xfId="0" applyFont="1" applyFill="1" applyBorder="1" applyAlignment="1" applyProtection="1">
      <alignment horizontal="center" vertical="center" wrapText="1"/>
      <protection hidden="1"/>
    </xf>
    <xf numFmtId="0" fontId="31" fillId="35" borderId="2" xfId="0" applyFont="1" applyFill="1" applyBorder="1" applyAlignment="1" applyProtection="1">
      <alignment horizontal="center" vertical="center"/>
      <protection hidden="1"/>
    </xf>
    <xf numFmtId="0" fontId="31" fillId="35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 wrapText="1"/>
      <protection hidden="1"/>
    </xf>
    <xf numFmtId="0" fontId="14" fillId="34" borderId="2" xfId="0" applyFont="1" applyFill="1" applyBorder="1" applyAlignment="1" applyProtection="1">
      <alignment horizontal="center" vertical="top" wrapText="1"/>
      <protection hidden="1"/>
    </xf>
    <xf numFmtId="4" fontId="14" fillId="11" borderId="2" xfId="0" applyNumberFormat="1" applyFont="1" applyFill="1" applyBorder="1" applyAlignment="1" applyProtection="1">
      <alignment horizontal="center" vertical="top"/>
      <protection hidden="1"/>
    </xf>
    <xf numFmtId="0" fontId="0" fillId="11" borderId="2" xfId="0" applyFill="1" applyBorder="1" applyAlignment="1" applyProtection="1">
      <alignment horizontal="center"/>
      <protection hidden="1"/>
    </xf>
    <xf numFmtId="0" fontId="0" fillId="11" borderId="6" xfId="0" applyFill="1" applyBorder="1" applyAlignment="1" applyProtection="1">
      <alignment horizontal="center"/>
      <protection hidden="1"/>
    </xf>
    <xf numFmtId="10" fontId="5" fillId="0" borderId="2" xfId="0" applyNumberFormat="1" applyFont="1" applyBorder="1" applyProtection="1">
      <protection hidden="1"/>
    </xf>
    <xf numFmtId="4" fontId="5" fillId="0" borderId="2" xfId="0" applyNumberFormat="1" applyFont="1" applyBorder="1" applyProtection="1">
      <protection hidden="1"/>
    </xf>
    <xf numFmtId="4" fontId="30" fillId="11" borderId="2" xfId="0" applyNumberFormat="1" applyFont="1" applyFill="1" applyBorder="1" applyAlignment="1" applyProtection="1">
      <alignment horizontal="center" vertical="top" wrapText="1"/>
      <protection hidden="1"/>
    </xf>
    <xf numFmtId="0" fontId="0" fillId="11" borderId="0" xfId="0" applyFill="1" applyBorder="1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center" vertical="center"/>
      <protection hidden="1"/>
    </xf>
    <xf numFmtId="0" fontId="5" fillId="40" borderId="31" xfId="0" applyFont="1" applyFill="1" applyBorder="1" applyAlignment="1" applyProtection="1">
      <alignment horizontal="center" vertical="center" wrapText="1"/>
      <protection hidden="1"/>
    </xf>
    <xf numFmtId="0" fontId="5" fillId="40" borderId="2" xfId="0" applyFont="1" applyFill="1" applyBorder="1" applyAlignment="1" applyProtection="1">
      <alignment horizontal="center" vertical="center" wrapText="1"/>
      <protection hidden="1"/>
    </xf>
    <xf numFmtId="4" fontId="1" fillId="40" borderId="2" xfId="0" applyNumberFormat="1" applyFont="1" applyFill="1" applyBorder="1" applyProtection="1">
      <protection hidden="1"/>
    </xf>
    <xf numFmtId="0" fontId="1" fillId="3" borderId="31" xfId="0" applyFont="1" applyFill="1" applyBorder="1" applyAlignment="1" applyProtection="1">
      <alignment vertical="center" wrapText="1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4" fontId="1" fillId="11" borderId="0" xfId="0" applyNumberFormat="1" applyFont="1" applyFill="1" applyBorder="1" applyAlignment="1" applyProtection="1">
      <alignment wrapText="1"/>
      <protection hidden="1"/>
    </xf>
    <xf numFmtId="0" fontId="5" fillId="12" borderId="1" xfId="0" applyFont="1" applyFill="1" applyBorder="1" applyProtection="1">
      <protection hidden="1"/>
    </xf>
    <xf numFmtId="2" fontId="5" fillId="12" borderId="6" xfId="0" applyNumberFormat="1" applyFont="1" applyFill="1" applyBorder="1" applyAlignment="1" applyProtection="1">
      <protection hidden="1"/>
    </xf>
    <xf numFmtId="2" fontId="5" fillId="12" borderId="7" xfId="0" applyNumberFormat="1" applyFont="1" applyFill="1" applyBorder="1" applyAlignment="1" applyProtection="1">
      <protection hidden="1"/>
    </xf>
    <xf numFmtId="2" fontId="5" fillId="12" borderId="5" xfId="0" applyNumberFormat="1" applyFont="1" applyFill="1" applyBorder="1" applyAlignment="1" applyProtection="1">
      <protection hidden="1"/>
    </xf>
    <xf numFmtId="2" fontId="5" fillId="12" borderId="2" xfId="0" applyNumberFormat="1" applyFont="1" applyFill="1" applyBorder="1" applyAlignment="1" applyProtection="1">
      <alignment horizontal="center"/>
      <protection hidden="1"/>
    </xf>
    <xf numFmtId="2" fontId="5" fillId="12" borderId="2" xfId="0" applyNumberFormat="1" applyFont="1" applyFill="1" applyBorder="1" applyProtection="1">
      <protection hidden="1"/>
    </xf>
    <xf numFmtId="0" fontId="5" fillId="12" borderId="2" xfId="0" applyFont="1" applyFill="1" applyBorder="1" applyAlignment="1" applyProtection="1">
      <alignment vertical="center"/>
      <protection hidden="1"/>
    </xf>
    <xf numFmtId="1" fontId="6" fillId="12" borderId="2" xfId="0" applyNumberFormat="1" applyFont="1" applyFill="1" applyBorder="1" applyAlignment="1" applyProtection="1">
      <alignment horizontal="center"/>
      <protection hidden="1"/>
    </xf>
    <xf numFmtId="4" fontId="1" fillId="11" borderId="32" xfId="0" applyNumberFormat="1" applyFont="1" applyFill="1" applyBorder="1" applyAlignment="1" applyProtection="1">
      <alignment wrapText="1"/>
      <protection hidden="1"/>
    </xf>
    <xf numFmtId="10" fontId="5" fillId="0" borderId="0" xfId="0" applyNumberFormat="1" applyFont="1" applyAlignment="1" applyProtection="1">
      <alignment horizontal="right"/>
      <protection hidden="1"/>
    </xf>
    <xf numFmtId="4" fontId="5" fillId="0" borderId="0" xfId="0" applyNumberFormat="1" applyFont="1" applyProtection="1">
      <protection hidden="1"/>
    </xf>
    <xf numFmtId="0" fontId="5" fillId="41" borderId="1" xfId="0" applyFont="1" applyFill="1" applyBorder="1" applyProtection="1">
      <protection hidden="1"/>
    </xf>
    <xf numFmtId="2" fontId="5" fillId="41" borderId="6" xfId="0" applyNumberFormat="1" applyFont="1" applyFill="1" applyBorder="1" applyAlignment="1" applyProtection="1">
      <protection hidden="1"/>
    </xf>
    <xf numFmtId="2" fontId="5" fillId="41" borderId="7" xfId="0" applyNumberFormat="1" applyFont="1" applyFill="1" applyBorder="1" applyAlignment="1" applyProtection="1">
      <protection hidden="1"/>
    </xf>
    <xf numFmtId="2" fontId="5" fillId="41" borderId="5" xfId="0" applyNumberFormat="1" applyFont="1" applyFill="1" applyBorder="1" applyAlignment="1" applyProtection="1">
      <protection hidden="1"/>
    </xf>
    <xf numFmtId="2" fontId="5" fillId="41" borderId="2" xfId="0" applyNumberFormat="1" applyFont="1" applyFill="1" applyBorder="1" applyAlignment="1" applyProtection="1">
      <alignment horizontal="center"/>
      <protection hidden="1"/>
    </xf>
    <xf numFmtId="2" fontId="5" fillId="41" borderId="2" xfId="0" applyNumberFormat="1" applyFont="1" applyFill="1" applyBorder="1" applyProtection="1">
      <protection hidden="1"/>
    </xf>
    <xf numFmtId="0" fontId="5" fillId="41" borderId="2" xfId="0" applyFont="1" applyFill="1" applyBorder="1" applyAlignment="1" applyProtection="1">
      <alignment vertical="center"/>
      <protection hidden="1"/>
    </xf>
    <xf numFmtId="1" fontId="6" fillId="41" borderId="2" xfId="0" applyNumberFormat="1" applyFont="1" applyFill="1" applyBorder="1" applyAlignment="1" applyProtection="1">
      <alignment horizontal="center"/>
      <protection hidden="1"/>
    </xf>
    <xf numFmtId="0" fontId="5" fillId="8" borderId="1" xfId="0" applyFont="1" applyFill="1" applyBorder="1" applyProtection="1">
      <protection hidden="1"/>
    </xf>
    <xf numFmtId="2" fontId="5" fillId="8" borderId="6" xfId="0" applyNumberFormat="1" applyFont="1" applyFill="1" applyBorder="1" applyAlignment="1" applyProtection="1">
      <protection hidden="1"/>
    </xf>
    <xf numFmtId="2" fontId="5" fillId="8" borderId="7" xfId="0" applyNumberFormat="1" applyFont="1" applyFill="1" applyBorder="1" applyAlignment="1" applyProtection="1">
      <protection hidden="1"/>
    </xf>
    <xf numFmtId="2" fontId="5" fillId="8" borderId="5" xfId="0" applyNumberFormat="1" applyFont="1" applyFill="1" applyBorder="1" applyAlignment="1" applyProtection="1">
      <protection hidden="1"/>
    </xf>
    <xf numFmtId="2" fontId="5" fillId="8" borderId="2" xfId="0" applyNumberFormat="1" applyFont="1" applyFill="1" applyBorder="1" applyAlignment="1" applyProtection="1">
      <alignment horizontal="center"/>
      <protection hidden="1"/>
    </xf>
    <xf numFmtId="2" fontId="5" fillId="8" borderId="2" xfId="0" applyNumberFormat="1" applyFont="1" applyFill="1" applyBorder="1" applyProtection="1">
      <protection hidden="1"/>
    </xf>
    <xf numFmtId="0" fontId="5" fillId="8" borderId="2" xfId="0" applyFont="1" applyFill="1" applyBorder="1" applyAlignment="1" applyProtection="1">
      <alignment vertical="center"/>
      <protection hidden="1"/>
    </xf>
    <xf numFmtId="1" fontId="6" fillId="8" borderId="2" xfId="0" applyNumberFormat="1" applyFont="1" applyFill="1" applyBorder="1" applyAlignment="1" applyProtection="1">
      <alignment horizontal="center"/>
      <protection hidden="1"/>
    </xf>
    <xf numFmtId="0" fontId="5" fillId="10" borderId="1" xfId="0" applyFont="1" applyFill="1" applyBorder="1" applyProtection="1">
      <protection hidden="1"/>
    </xf>
    <xf numFmtId="2" fontId="5" fillId="10" borderId="6" xfId="0" applyNumberFormat="1" applyFont="1" applyFill="1" applyBorder="1" applyAlignment="1" applyProtection="1">
      <protection hidden="1"/>
    </xf>
    <xf numFmtId="2" fontId="5" fillId="10" borderId="7" xfId="0" applyNumberFormat="1" applyFont="1" applyFill="1" applyBorder="1" applyAlignment="1" applyProtection="1">
      <protection hidden="1"/>
    </xf>
    <xf numFmtId="2" fontId="5" fillId="10" borderId="5" xfId="0" applyNumberFormat="1" applyFont="1" applyFill="1" applyBorder="1" applyAlignment="1" applyProtection="1">
      <protection hidden="1"/>
    </xf>
    <xf numFmtId="2" fontId="5" fillId="10" borderId="2" xfId="0" applyNumberFormat="1" applyFont="1" applyFill="1" applyBorder="1" applyAlignment="1" applyProtection="1">
      <alignment horizontal="center"/>
      <protection hidden="1"/>
    </xf>
    <xf numFmtId="2" fontId="5" fillId="10" borderId="2" xfId="0" applyNumberFormat="1" applyFont="1" applyFill="1" applyBorder="1" applyProtection="1">
      <protection hidden="1"/>
    </xf>
    <xf numFmtId="0" fontId="5" fillId="10" borderId="2" xfId="0" applyFont="1" applyFill="1" applyBorder="1" applyAlignment="1" applyProtection="1">
      <alignment vertical="center"/>
      <protection hidden="1"/>
    </xf>
    <xf numFmtId="1" fontId="6" fillId="10" borderId="2" xfId="0" applyNumberFormat="1" applyFont="1" applyFill="1" applyBorder="1" applyAlignment="1" applyProtection="1">
      <alignment horizontal="center"/>
      <protection hidden="1"/>
    </xf>
    <xf numFmtId="0" fontId="5" fillId="6" borderId="1" xfId="0" applyFont="1" applyFill="1" applyBorder="1" applyProtection="1">
      <protection hidden="1"/>
    </xf>
    <xf numFmtId="2" fontId="5" fillId="6" borderId="6" xfId="0" applyNumberFormat="1" applyFont="1" applyFill="1" applyBorder="1" applyAlignment="1" applyProtection="1">
      <protection hidden="1"/>
    </xf>
    <xf numFmtId="2" fontId="5" fillId="6" borderId="7" xfId="0" applyNumberFormat="1" applyFont="1" applyFill="1" applyBorder="1" applyAlignment="1" applyProtection="1">
      <protection hidden="1"/>
    </xf>
    <xf numFmtId="2" fontId="5" fillId="6" borderId="5" xfId="0" applyNumberFormat="1" applyFont="1" applyFill="1" applyBorder="1" applyAlignment="1" applyProtection="1">
      <protection hidden="1"/>
    </xf>
    <xf numFmtId="2" fontId="5" fillId="6" borderId="2" xfId="0" applyNumberFormat="1" applyFont="1" applyFill="1" applyBorder="1" applyAlignment="1" applyProtection="1">
      <alignment horizontal="center"/>
      <protection hidden="1"/>
    </xf>
    <xf numFmtId="2" fontId="5" fillId="6" borderId="2" xfId="0" applyNumberFormat="1" applyFont="1" applyFill="1" applyBorder="1" applyProtection="1"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1" fontId="6" fillId="6" borderId="2" xfId="0" applyNumberFormat="1" applyFont="1" applyFill="1" applyBorder="1" applyAlignment="1" applyProtection="1">
      <alignment horizontal="center"/>
      <protection hidden="1"/>
    </xf>
    <xf numFmtId="0" fontId="5" fillId="42" borderId="2" xfId="0" applyFont="1" applyFill="1" applyBorder="1" applyAlignment="1" applyProtection="1">
      <alignment vertical="center"/>
      <protection hidden="1"/>
    </xf>
    <xf numFmtId="2" fontId="5" fillId="42" borderId="6" xfId="0" applyNumberFormat="1" applyFont="1" applyFill="1" applyBorder="1" applyAlignment="1" applyProtection="1">
      <protection hidden="1"/>
    </xf>
    <xf numFmtId="2" fontId="5" fillId="42" borderId="7" xfId="0" applyNumberFormat="1" applyFont="1" applyFill="1" applyBorder="1" applyAlignment="1" applyProtection="1">
      <protection hidden="1"/>
    </xf>
    <xf numFmtId="2" fontId="5" fillId="42" borderId="5" xfId="0" applyNumberFormat="1" applyFont="1" applyFill="1" applyBorder="1" applyAlignment="1" applyProtection="1">
      <protection hidden="1"/>
    </xf>
    <xf numFmtId="2" fontId="5" fillId="42" borderId="2" xfId="0" applyNumberFormat="1" applyFont="1" applyFill="1" applyBorder="1" applyAlignment="1" applyProtection="1">
      <alignment horizontal="center"/>
      <protection hidden="1"/>
    </xf>
    <xf numFmtId="2" fontId="5" fillId="42" borderId="2" xfId="0" applyNumberFormat="1" applyFont="1" applyFill="1" applyBorder="1" applyProtection="1">
      <protection hidden="1"/>
    </xf>
    <xf numFmtId="1" fontId="6" fillId="42" borderId="2" xfId="0" applyNumberFormat="1" applyFont="1" applyFill="1" applyBorder="1" applyAlignment="1" applyProtection="1">
      <alignment horizontal="center"/>
      <protection hidden="1"/>
    </xf>
    <xf numFmtId="1" fontId="5" fillId="42" borderId="0" xfId="0" applyNumberFormat="1" applyFont="1" applyFill="1" applyAlignment="1" applyProtection="1">
      <alignment horizontal="center"/>
      <protection hidden="1"/>
    </xf>
    <xf numFmtId="0" fontId="3" fillId="43" borderId="17" xfId="0" applyFont="1" applyFill="1" applyBorder="1" applyAlignment="1" applyProtection="1">
      <alignment horizontal="center" vertical="center" wrapText="1"/>
      <protection hidden="1"/>
    </xf>
    <xf numFmtId="1" fontId="3" fillId="43" borderId="33" xfId="0" applyNumberFormat="1" applyFont="1" applyFill="1" applyBorder="1" applyAlignment="1" applyProtection="1">
      <alignment horizontal="center" vertical="center"/>
      <protection hidden="1"/>
    </xf>
    <xf numFmtId="1" fontId="3" fillId="43" borderId="18" xfId="0" applyNumberFormat="1" applyFont="1" applyFill="1" applyBorder="1" applyAlignment="1" applyProtection="1">
      <alignment horizontal="center" vertical="center"/>
      <protection hidden="1"/>
    </xf>
    <xf numFmtId="4" fontId="1" fillId="10" borderId="17" xfId="0" applyNumberFormat="1" applyFont="1" applyFill="1" applyBorder="1" applyProtection="1">
      <protection hidden="1"/>
    </xf>
    <xf numFmtId="4" fontId="1" fillId="10" borderId="18" xfId="0" applyNumberFormat="1" applyFont="1" applyFill="1" applyBorder="1" applyProtection="1">
      <protection hidden="1"/>
    </xf>
    <xf numFmtId="0" fontId="7" fillId="44" borderId="2" xfId="0" applyFont="1" applyFill="1" applyBorder="1" applyAlignment="1" applyProtection="1">
      <alignment horizontal="center"/>
      <protection hidden="1"/>
    </xf>
    <xf numFmtId="0" fontId="2" fillId="44" borderId="2" xfId="0" applyFont="1" applyFill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5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3" fontId="5" fillId="3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hidden="1"/>
    </xf>
    <xf numFmtId="0" fontId="3" fillId="21" borderId="0" xfId="0" applyFont="1" applyFill="1" applyBorder="1" applyAlignment="1" applyProtection="1">
      <alignment horizontal="center" vertical="center"/>
      <protection hidden="1"/>
    </xf>
    <xf numFmtId="0" fontId="4" fillId="11" borderId="2" xfId="0" applyFont="1" applyFill="1" applyBorder="1" applyAlignment="1" applyProtection="1">
      <alignment horizontal="center" vertical="center" wrapText="1"/>
      <protection hidden="1"/>
    </xf>
    <xf numFmtId="9" fontId="5" fillId="0" borderId="0" xfId="2" applyFont="1" applyAlignment="1" applyProtection="1">
      <alignment horizont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167" fontId="5" fillId="0" borderId="0" xfId="2" applyNumberFormat="1" applyFont="1" applyProtection="1"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37" fillId="0" borderId="24" xfId="0" applyFont="1" applyBorder="1" applyAlignment="1" applyProtection="1">
      <alignment horizontal="center" vertical="center"/>
      <protection hidden="1"/>
    </xf>
    <xf numFmtId="0" fontId="37" fillId="0" borderId="16" xfId="0" applyFont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19" fillId="5" borderId="0" xfId="0" applyFont="1" applyFill="1" applyAlignment="1" applyProtection="1">
      <alignment vertical="center" wrapText="1"/>
      <protection hidden="1"/>
    </xf>
    <xf numFmtId="0" fontId="19" fillId="45" borderId="0" xfId="0" applyFont="1" applyFill="1" applyBorder="1" applyAlignment="1" applyProtection="1">
      <protection hidden="1"/>
    </xf>
    <xf numFmtId="3" fontId="6" fillId="11" borderId="2" xfId="0" applyNumberFormat="1" applyFont="1" applyFill="1" applyBorder="1" applyAlignment="1" applyProtection="1">
      <alignment horizontal="center"/>
      <protection hidden="1"/>
    </xf>
    <xf numFmtId="3" fontId="6" fillId="39" borderId="2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/>
    <xf numFmtId="4" fontId="14" fillId="11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24" xfId="0" applyFont="1" applyBorder="1" applyAlignment="1" applyProtection="1">
      <alignment horizontal="center" vertical="center"/>
      <protection hidden="1"/>
    </xf>
    <xf numFmtId="0" fontId="7" fillId="44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37" borderId="0" xfId="0" applyFont="1" applyFill="1" applyAlignment="1" applyProtection="1">
      <alignment horizontal="center" vertical="center"/>
      <protection hidden="1"/>
    </xf>
    <xf numFmtId="3" fontId="5" fillId="3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1" fontId="3" fillId="43" borderId="34" xfId="0" applyNumberFormat="1" applyFont="1" applyFill="1" applyBorder="1" applyAlignment="1" applyProtection="1">
      <alignment horizontal="center" vertical="center"/>
      <protection hidden="1"/>
    </xf>
    <xf numFmtId="4" fontId="1" fillId="40" borderId="31" xfId="0" applyNumberFormat="1" applyFont="1" applyFill="1" applyBorder="1" applyProtection="1">
      <protection hidden="1"/>
    </xf>
    <xf numFmtId="4" fontId="1" fillId="10" borderId="2" xfId="0" applyNumberFormat="1" applyFont="1" applyFill="1" applyBorder="1" applyAlignment="1" applyProtection="1">
      <alignment horizontal="center"/>
      <protection hidden="1"/>
    </xf>
    <xf numFmtId="4" fontId="1" fillId="10" borderId="6" xfId="0" applyNumberFormat="1" applyFont="1" applyFill="1" applyBorder="1" applyAlignment="1" applyProtection="1">
      <alignment horizontal="center"/>
      <protection hidden="1"/>
    </xf>
    <xf numFmtId="4" fontId="1" fillId="10" borderId="10" xfId="0" applyNumberFormat="1" applyFont="1" applyFill="1" applyBorder="1" applyProtection="1">
      <protection hidden="1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left"/>
      <protection locked="0"/>
    </xf>
    <xf numFmtId="2" fontId="0" fillId="36" borderId="0" xfId="0" applyNumberFormat="1" applyFill="1" applyProtection="1">
      <protection hidden="1"/>
    </xf>
    <xf numFmtId="0" fontId="1" fillId="36" borderId="0" xfId="0" applyNumberFormat="1" applyFont="1" applyFill="1" applyProtection="1">
      <protection hidden="1"/>
    </xf>
    <xf numFmtId="0" fontId="5" fillId="38" borderId="0" xfId="0" applyFont="1" applyFill="1" applyProtection="1">
      <protection hidden="1"/>
    </xf>
    <xf numFmtId="10" fontId="5" fillId="38" borderId="0" xfId="0" applyNumberFormat="1" applyFont="1" applyFill="1" applyProtection="1">
      <protection hidden="1"/>
    </xf>
    <xf numFmtId="168" fontId="5" fillId="0" borderId="0" xfId="0" applyNumberFormat="1" applyFont="1" applyProtection="1">
      <protection hidden="1"/>
    </xf>
    <xf numFmtId="0" fontId="6" fillId="13" borderId="15" xfId="0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4" fontId="14" fillId="46" borderId="2" xfId="0" applyNumberFormat="1" applyFont="1" applyFill="1" applyBorder="1" applyAlignment="1" applyProtection="1">
      <alignment horizontal="center" vertical="top"/>
      <protection hidden="1"/>
    </xf>
    <xf numFmtId="4" fontId="30" fillId="46" borderId="2" xfId="0" applyNumberFormat="1" applyFont="1" applyFill="1" applyBorder="1" applyAlignment="1" applyProtection="1">
      <alignment horizontal="center" vertical="top" wrapText="1"/>
      <protection hidden="1"/>
    </xf>
    <xf numFmtId="4" fontId="30" fillId="15" borderId="2" xfId="0" applyNumberFormat="1" applyFont="1" applyFill="1" applyBorder="1" applyAlignment="1" applyProtection="1">
      <alignment horizontal="center" vertical="top" wrapText="1"/>
      <protection hidden="1"/>
    </xf>
    <xf numFmtId="4" fontId="14" fillId="15" borderId="2" xfId="0" applyNumberFormat="1" applyFont="1" applyFill="1" applyBorder="1" applyAlignment="1" applyProtection="1">
      <alignment horizontal="center"/>
      <protection hidden="1"/>
    </xf>
    <xf numFmtId="4" fontId="14" fillId="15" borderId="6" xfId="0" applyNumberFormat="1" applyFont="1" applyFill="1" applyBorder="1" applyAlignment="1" applyProtection="1">
      <alignment horizontal="center"/>
      <protection hidden="1"/>
    </xf>
    <xf numFmtId="4" fontId="14" fillId="15" borderId="2" xfId="0" applyNumberFormat="1" applyFont="1" applyFill="1" applyBorder="1" applyAlignment="1" applyProtection="1">
      <alignment horizontal="center" vertical="top"/>
      <protection hidden="1"/>
    </xf>
    <xf numFmtId="2" fontId="14" fillId="15" borderId="2" xfId="0" applyNumberFormat="1" applyFont="1" applyFill="1" applyBorder="1" applyAlignment="1" applyProtection="1">
      <alignment horizontal="center" vertical="top"/>
      <protection hidden="1"/>
    </xf>
    <xf numFmtId="0" fontId="41" fillId="11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29" fillId="27" borderId="2" xfId="0" applyFont="1" applyFill="1" applyBorder="1" applyAlignment="1" applyProtection="1">
      <alignment horizontal="left" vertical="center" wrapText="1"/>
      <protection hidden="1"/>
    </xf>
    <xf numFmtId="0" fontId="29" fillId="28" borderId="2" xfId="0" applyFont="1" applyFill="1" applyBorder="1" applyAlignment="1" applyProtection="1">
      <alignment horizontal="left" vertical="center" wrapText="1"/>
      <protection hidden="1"/>
    </xf>
    <xf numFmtId="0" fontId="42" fillId="41" borderId="6" xfId="0" applyFont="1" applyFill="1" applyBorder="1" applyAlignment="1" applyProtection="1">
      <alignment horizontal="left"/>
      <protection hidden="1"/>
    </xf>
    <xf numFmtId="0" fontId="29" fillId="29" borderId="2" xfId="0" applyFont="1" applyFill="1" applyBorder="1" applyAlignment="1" applyProtection="1">
      <alignment horizontal="left" vertical="center" wrapText="1"/>
      <protection hidden="1"/>
    </xf>
    <xf numFmtId="0" fontId="29" fillId="30" borderId="2" xfId="0" applyFont="1" applyFill="1" applyBorder="1" applyAlignment="1" applyProtection="1">
      <alignment horizontal="left" vertical="center" wrapText="1"/>
      <protection hidden="1"/>
    </xf>
    <xf numFmtId="0" fontId="29" fillId="18" borderId="2" xfId="0" applyFont="1" applyFill="1" applyBorder="1" applyAlignment="1" applyProtection="1">
      <alignment horizontal="left" vertical="center" wrapText="1"/>
      <protection hidden="1"/>
    </xf>
    <xf numFmtId="0" fontId="30" fillId="8" borderId="2" xfId="0" applyFont="1" applyFill="1" applyBorder="1" applyAlignment="1" applyProtection="1">
      <alignment horizontal="left" vertical="center" wrapText="1"/>
      <protection hidden="1"/>
    </xf>
    <xf numFmtId="0" fontId="29" fillId="31" borderId="2" xfId="0" applyFont="1" applyFill="1" applyBorder="1" applyAlignment="1" applyProtection="1">
      <alignment horizontal="left" vertical="center" wrapText="1"/>
      <protection hidden="1"/>
    </xf>
    <xf numFmtId="0" fontId="29" fillId="32" borderId="2" xfId="0" applyFont="1" applyFill="1" applyBorder="1" applyAlignment="1" applyProtection="1">
      <alignment horizontal="left" vertical="center" wrapText="1"/>
      <protection hidden="1"/>
    </xf>
    <xf numFmtId="0" fontId="29" fillId="33" borderId="2" xfId="0" applyFont="1" applyFill="1" applyBorder="1" applyAlignment="1" applyProtection="1">
      <alignment horizontal="left" vertical="center" wrapText="1"/>
      <protection hidden="1"/>
    </xf>
    <xf numFmtId="0" fontId="31" fillId="35" borderId="2" xfId="0" applyFont="1" applyFill="1" applyBorder="1" applyAlignment="1" applyProtection="1">
      <alignment horizontal="left" vertical="center"/>
      <protection hidden="1"/>
    </xf>
    <xf numFmtId="0" fontId="31" fillId="35" borderId="2" xfId="0" applyFont="1" applyFill="1" applyBorder="1" applyAlignment="1" applyProtection="1">
      <alignment horizontal="left" vertical="center" wrapText="1"/>
      <protection hidden="1"/>
    </xf>
    <xf numFmtId="0" fontId="42" fillId="40" borderId="6" xfId="0" applyFont="1" applyFill="1" applyBorder="1" applyAlignment="1" applyProtection="1">
      <alignment horizontal="left"/>
      <protection hidden="1"/>
    </xf>
    <xf numFmtId="0" fontId="42" fillId="47" borderId="6" xfId="0" applyFont="1" applyFill="1" applyBorder="1" applyAlignment="1" applyProtection="1">
      <alignment horizontal="left"/>
      <protection hidden="1"/>
    </xf>
    <xf numFmtId="0" fontId="40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4" fontId="5" fillId="2" borderId="0" xfId="0" applyNumberFormat="1" applyFont="1" applyFill="1" applyProtection="1">
      <protection hidden="1"/>
    </xf>
    <xf numFmtId="0" fontId="42" fillId="41" borderId="6" xfId="0" applyFont="1" applyFill="1" applyBorder="1" applyProtection="1">
      <protection hidden="1"/>
    </xf>
    <xf numFmtId="0" fontId="42" fillId="40" borderId="6" xfId="0" applyFont="1" applyFill="1" applyBorder="1" applyProtection="1">
      <protection hidden="1"/>
    </xf>
    <xf numFmtId="9" fontId="5" fillId="2" borderId="2" xfId="0" applyNumberFormat="1" applyFont="1" applyFill="1" applyBorder="1" applyAlignment="1" applyProtection="1">
      <alignment horizontal="center"/>
      <protection hidden="1"/>
    </xf>
    <xf numFmtId="0" fontId="42" fillId="47" borderId="6" xfId="0" applyFont="1" applyFill="1" applyBorder="1" applyProtection="1">
      <protection hidden="1"/>
    </xf>
    <xf numFmtId="14" fontId="0" fillId="11" borderId="0" xfId="0" applyNumberFormat="1" applyFill="1" applyAlignment="1" applyProtection="1">
      <alignment horizontal="center"/>
      <protection hidden="1"/>
    </xf>
    <xf numFmtId="14" fontId="5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 wrapText="1"/>
      <protection hidden="1"/>
    </xf>
    <xf numFmtId="4" fontId="3" fillId="18" borderId="6" xfId="0" applyNumberFormat="1" applyFont="1" applyFill="1" applyBorder="1" applyProtection="1">
      <protection hidden="1"/>
    </xf>
    <xf numFmtId="4" fontId="3" fillId="18" borderId="5" xfId="0" applyNumberFormat="1" applyFont="1" applyFill="1" applyBorder="1" applyProtection="1">
      <protection hidden="1"/>
    </xf>
    <xf numFmtId="4" fontId="3" fillId="19" borderId="6" xfId="0" applyNumberFormat="1" applyFont="1" applyFill="1" applyBorder="1" applyProtection="1">
      <protection hidden="1"/>
    </xf>
    <xf numFmtId="4" fontId="3" fillId="19" borderId="5" xfId="0" applyNumberFormat="1" applyFont="1" applyFill="1" applyBorder="1" applyProtection="1">
      <protection hidden="1"/>
    </xf>
    <xf numFmtId="4" fontId="3" fillId="7" borderId="6" xfId="0" applyNumberFormat="1" applyFont="1" applyFill="1" applyBorder="1" applyProtection="1">
      <protection hidden="1"/>
    </xf>
    <xf numFmtId="4" fontId="3" fillId="7" borderId="5" xfId="0" applyNumberFormat="1" applyFont="1" applyFill="1" applyBorder="1" applyProtection="1">
      <protection hidden="1"/>
    </xf>
    <xf numFmtId="4" fontId="3" fillId="5" borderId="6" xfId="0" applyNumberFormat="1" applyFont="1" applyFill="1" applyBorder="1" applyProtection="1">
      <protection hidden="1"/>
    </xf>
    <xf numFmtId="4" fontId="3" fillId="5" borderId="5" xfId="0" applyNumberFormat="1" applyFont="1" applyFill="1" applyBorder="1" applyProtection="1">
      <protection hidden="1"/>
    </xf>
    <xf numFmtId="4" fontId="3" fillId="20" borderId="6" xfId="0" applyNumberFormat="1" applyFont="1" applyFill="1" applyBorder="1" applyProtection="1">
      <protection hidden="1"/>
    </xf>
    <xf numFmtId="4" fontId="3" fillId="20" borderId="5" xfId="0" applyNumberFormat="1" applyFont="1" applyFill="1" applyBorder="1" applyProtection="1">
      <protection hidden="1"/>
    </xf>
    <xf numFmtId="4" fontId="3" fillId="17" borderId="6" xfId="0" applyNumberFormat="1" applyFont="1" applyFill="1" applyBorder="1" applyProtection="1">
      <protection hidden="1"/>
    </xf>
    <xf numFmtId="4" fontId="3" fillId="17" borderId="5" xfId="0" applyNumberFormat="1" applyFont="1" applyFill="1" applyBorder="1" applyProtection="1"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left"/>
      <protection hidden="1"/>
    </xf>
    <xf numFmtId="4" fontId="0" fillId="0" borderId="0" xfId="0" applyNumberFormat="1"/>
    <xf numFmtId="4" fontId="14" fillId="16" borderId="2" xfId="0" applyNumberFormat="1" applyFont="1" applyFill="1" applyBorder="1" applyAlignment="1" applyProtection="1">
      <alignment horizontal="center" vertical="top"/>
      <protection hidden="1"/>
    </xf>
    <xf numFmtId="4" fontId="14" fillId="20" borderId="2" xfId="0" applyNumberFormat="1" applyFont="1" applyFill="1" applyBorder="1" applyAlignment="1" applyProtection="1">
      <alignment horizontal="center" vertical="top"/>
      <protection hidden="1"/>
    </xf>
    <xf numFmtId="4" fontId="30" fillId="16" borderId="2" xfId="0" applyNumberFormat="1" applyFont="1" applyFill="1" applyBorder="1" applyAlignment="1" applyProtection="1">
      <alignment horizontal="center" vertical="top" wrapText="1"/>
      <protection hidden="1"/>
    </xf>
    <xf numFmtId="4" fontId="14" fillId="20" borderId="2" xfId="0" applyNumberFormat="1" applyFont="1" applyFill="1" applyBorder="1" applyAlignment="1" applyProtection="1">
      <alignment horizontal="center"/>
      <protection hidden="1"/>
    </xf>
    <xf numFmtId="4" fontId="14" fillId="16" borderId="6" xfId="0" applyNumberFormat="1" applyFont="1" applyFill="1" applyBorder="1" applyAlignment="1" applyProtection="1">
      <alignment horizontal="center"/>
      <protection hidden="1"/>
    </xf>
    <xf numFmtId="4" fontId="14" fillId="16" borderId="2" xfId="0" applyNumberFormat="1" applyFont="1" applyFill="1" applyBorder="1" applyAlignment="1" applyProtection="1">
      <alignment horizontal="center"/>
      <protection hidden="1"/>
    </xf>
    <xf numFmtId="0" fontId="26" fillId="24" borderId="0" xfId="0" applyFont="1" applyFill="1" applyBorder="1" applyAlignment="1" applyProtection="1">
      <alignment horizontal="center"/>
      <protection hidden="1"/>
    </xf>
    <xf numFmtId="0" fontId="0" fillId="11" borderId="0" xfId="0" applyFill="1" applyBorder="1" applyAlignment="1" applyProtection="1">
      <alignment horizontal="center"/>
      <protection locked="0"/>
    </xf>
    <xf numFmtId="0" fontId="19" fillId="23" borderId="0" xfId="0" applyFont="1" applyFill="1" applyBorder="1" applyAlignment="1" applyProtection="1">
      <alignment horizontal="center"/>
      <protection hidden="1"/>
    </xf>
    <xf numFmtId="0" fontId="19" fillId="21" borderId="0" xfId="0" applyFont="1" applyFill="1" applyBorder="1" applyAlignment="1" applyProtection="1">
      <alignment horizontal="center"/>
      <protection hidden="1"/>
    </xf>
    <xf numFmtId="0" fontId="0" fillId="11" borderId="0" xfId="0" applyFill="1" applyAlignment="1" applyProtection="1">
      <alignment horizontal="center"/>
      <protection hidden="1"/>
    </xf>
    <xf numFmtId="0" fontId="9" fillId="23" borderId="0" xfId="1" applyFill="1" applyBorder="1" applyAlignment="1" applyProtection="1"/>
    <xf numFmtId="0" fontId="0" fillId="5" borderId="35" xfId="0" applyFill="1" applyBorder="1" applyProtection="1">
      <protection hidden="1"/>
    </xf>
    <xf numFmtId="0" fontId="0" fillId="5" borderId="39" xfId="0" applyFill="1" applyBorder="1" applyProtection="1">
      <protection hidden="1"/>
    </xf>
    <xf numFmtId="0" fontId="0" fillId="5" borderId="40" xfId="0" applyFill="1" applyBorder="1" applyProtection="1">
      <protection hidden="1"/>
    </xf>
    <xf numFmtId="0" fontId="0" fillId="5" borderId="41" xfId="0" applyFill="1" applyBorder="1" applyProtection="1">
      <protection hidden="1"/>
    </xf>
    <xf numFmtId="0" fontId="0" fillId="5" borderId="42" xfId="0" applyFill="1" applyBorder="1" applyProtection="1">
      <protection hidden="1"/>
    </xf>
    <xf numFmtId="0" fontId="0" fillId="23" borderId="43" xfId="0" applyFill="1" applyBorder="1" applyProtection="1">
      <protection hidden="1"/>
    </xf>
    <xf numFmtId="0" fontId="0" fillId="11" borderId="43" xfId="0" applyFill="1" applyBorder="1" applyAlignment="1" applyProtection="1">
      <alignment horizontal="center"/>
      <protection locked="0"/>
    </xf>
    <xf numFmtId="0" fontId="0" fillId="5" borderId="44" xfId="0" applyFill="1" applyBorder="1" applyProtection="1">
      <protection hidden="1"/>
    </xf>
    <xf numFmtId="8" fontId="0" fillId="20" borderId="8" xfId="0" applyNumberFormat="1" applyFill="1" applyBorder="1" applyAlignment="1" applyProtection="1">
      <alignment horizontal="right"/>
      <protection hidden="1"/>
    </xf>
    <xf numFmtId="0" fontId="0" fillId="20" borderId="0" xfId="0" applyFill="1" applyProtection="1">
      <protection hidden="1"/>
    </xf>
    <xf numFmtId="8" fontId="0" fillId="16" borderId="8" xfId="0" applyNumberFormat="1" applyFill="1" applyBorder="1" applyAlignment="1" applyProtection="1">
      <alignment horizontal="right"/>
      <protection hidden="1"/>
    </xf>
    <xf numFmtId="0" fontId="3" fillId="5" borderId="0" xfId="0" applyFont="1" applyFill="1" applyBorder="1" applyAlignment="1" applyProtection="1">
      <alignment horizontal="center"/>
      <protection hidden="1"/>
    </xf>
    <xf numFmtId="0" fontId="0" fillId="5" borderId="43" xfId="0" applyFill="1" applyBorder="1" applyProtection="1">
      <protection hidden="1"/>
    </xf>
    <xf numFmtId="0" fontId="0" fillId="5" borderId="45" xfId="0" applyFill="1" applyBorder="1" applyProtection="1">
      <protection hidden="1"/>
    </xf>
    <xf numFmtId="0" fontId="0" fillId="23" borderId="0" xfId="0" applyFill="1" applyBorder="1" applyAlignment="1" applyProtection="1">
      <protection hidden="1"/>
    </xf>
    <xf numFmtId="0" fontId="1" fillId="23" borderId="0" xfId="0" applyFont="1" applyFill="1" applyBorder="1" applyAlignment="1" applyProtection="1">
      <alignment horizontal="center"/>
      <protection hidden="1"/>
    </xf>
    <xf numFmtId="0" fontId="1" fillId="23" borderId="43" xfId="0" applyFont="1" applyFill="1" applyBorder="1" applyAlignment="1" applyProtection="1">
      <alignment horizontal="center"/>
      <protection hidden="1"/>
    </xf>
    <xf numFmtId="0" fontId="0" fillId="5" borderId="16" xfId="0" applyFill="1" applyBorder="1" applyProtection="1">
      <protection hidden="1"/>
    </xf>
    <xf numFmtId="0" fontId="0" fillId="5" borderId="25" xfId="0" applyFill="1" applyBorder="1" applyProtection="1">
      <protection hidden="1"/>
    </xf>
    <xf numFmtId="0" fontId="26" fillId="5" borderId="16" xfId="0" applyFont="1" applyFill="1" applyBorder="1" applyAlignment="1" applyProtection="1">
      <alignment horizontal="center"/>
      <protection hidden="1"/>
    </xf>
    <xf numFmtId="0" fontId="26" fillId="5" borderId="25" xfId="0" applyFont="1" applyFill="1" applyBorder="1" applyAlignment="1" applyProtection="1">
      <alignment horizontal="center"/>
      <protection hidden="1"/>
    </xf>
    <xf numFmtId="0" fontId="0" fillId="11" borderId="25" xfId="0" applyFill="1" applyBorder="1" applyAlignment="1" applyProtection="1">
      <alignment horizontal="center"/>
      <protection hidden="1"/>
    </xf>
    <xf numFmtId="0" fontId="0" fillId="5" borderId="8" xfId="0" applyFill="1" applyBorder="1" applyProtection="1">
      <protection hidden="1"/>
    </xf>
    <xf numFmtId="0" fontId="0" fillId="11" borderId="15" xfId="0" applyFill="1" applyBorder="1" applyAlignment="1" applyProtection="1">
      <alignment horizontal="center"/>
      <protection locked="0"/>
    </xf>
    <xf numFmtId="0" fontId="0" fillId="5" borderId="15" xfId="0" applyFill="1" applyBorder="1" applyProtection="1">
      <protection hidden="1"/>
    </xf>
    <xf numFmtId="0" fontId="0" fillId="23" borderId="22" xfId="0" applyFill="1" applyBorder="1" applyProtection="1">
      <protection hidden="1"/>
    </xf>
    <xf numFmtId="0" fontId="19" fillId="23" borderId="23" xfId="0" applyFont="1" applyFill="1" applyBorder="1" applyAlignment="1" applyProtection="1">
      <alignment horizontal="center"/>
      <protection hidden="1"/>
    </xf>
    <xf numFmtId="0" fontId="0" fillId="5" borderId="23" xfId="0" applyFill="1" applyBorder="1" applyProtection="1">
      <protection hidden="1"/>
    </xf>
    <xf numFmtId="0" fontId="0" fillId="5" borderId="24" xfId="0" applyFill="1" applyBorder="1" applyProtection="1">
      <protection hidden="1"/>
    </xf>
    <xf numFmtId="0" fontId="0" fillId="23" borderId="16" xfId="0" applyFill="1" applyBorder="1" applyProtection="1">
      <protection hidden="1"/>
    </xf>
    <xf numFmtId="0" fontId="26" fillId="24" borderId="16" xfId="0" applyFont="1" applyFill="1" applyBorder="1" applyAlignment="1" applyProtection="1">
      <alignment horizontal="center"/>
      <protection hidden="1"/>
    </xf>
    <xf numFmtId="0" fontId="0" fillId="23" borderId="8" xfId="0" applyFill="1" applyBorder="1" applyProtection="1">
      <protection hidden="1"/>
    </xf>
    <xf numFmtId="0" fontId="0" fillId="23" borderId="15" xfId="0" applyFill="1" applyBorder="1" applyProtection="1">
      <protection hidden="1"/>
    </xf>
    <xf numFmtId="0" fontId="0" fillId="5" borderId="26" xfId="0" applyFill="1" applyBorder="1" applyProtection="1">
      <protection hidden="1"/>
    </xf>
    <xf numFmtId="0" fontId="9" fillId="23" borderId="0" xfId="1" applyFill="1" applyBorder="1" applyAlignment="1" applyProtection="1">
      <alignment horizontal="left"/>
    </xf>
    <xf numFmtId="0" fontId="9" fillId="23" borderId="43" xfId="1" applyFill="1" applyBorder="1" applyAlignment="1" applyProtection="1">
      <alignment horizontal="left"/>
    </xf>
    <xf numFmtId="0" fontId="43" fillId="5" borderId="0" xfId="0" applyFont="1" applyFill="1" applyBorder="1" applyAlignment="1" applyProtection="1">
      <alignment horizontal="center"/>
      <protection hidden="1"/>
    </xf>
    <xf numFmtId="0" fontId="43" fillId="5" borderId="25" xfId="0" applyFont="1" applyFill="1" applyBorder="1" applyAlignment="1" applyProtection="1">
      <alignment horizontal="center"/>
      <protection hidden="1"/>
    </xf>
    <xf numFmtId="0" fontId="20" fillId="15" borderId="22" xfId="0" applyFont="1" applyFill="1" applyBorder="1" applyAlignment="1" applyProtection="1">
      <alignment horizontal="center" vertical="center" wrapText="1"/>
      <protection hidden="1"/>
    </xf>
    <xf numFmtId="0" fontId="20" fillId="15" borderId="23" xfId="0" applyFont="1" applyFill="1" applyBorder="1" applyAlignment="1" applyProtection="1">
      <alignment horizontal="center" vertical="center" wrapText="1"/>
      <protection hidden="1"/>
    </xf>
    <xf numFmtId="0" fontId="20" fillId="15" borderId="24" xfId="0" applyFont="1" applyFill="1" applyBorder="1" applyAlignment="1" applyProtection="1">
      <alignment horizontal="center" vertical="center" wrapText="1"/>
      <protection hidden="1"/>
    </xf>
    <xf numFmtId="0" fontId="20" fillId="15" borderId="16" xfId="0" applyFont="1" applyFill="1" applyBorder="1" applyAlignment="1" applyProtection="1">
      <alignment horizontal="center" vertical="center" wrapText="1"/>
      <protection hidden="1"/>
    </xf>
    <xf numFmtId="0" fontId="20" fillId="15" borderId="0" xfId="0" applyFont="1" applyFill="1" applyBorder="1" applyAlignment="1" applyProtection="1">
      <alignment horizontal="center" vertical="center" wrapText="1"/>
      <protection hidden="1"/>
    </xf>
    <xf numFmtId="0" fontId="20" fillId="15" borderId="25" xfId="0" applyFont="1" applyFill="1" applyBorder="1" applyAlignment="1" applyProtection="1">
      <alignment horizontal="center" vertical="center" wrapText="1"/>
      <protection hidden="1"/>
    </xf>
    <xf numFmtId="0" fontId="20" fillId="15" borderId="8" xfId="0" applyFont="1" applyFill="1" applyBorder="1" applyAlignment="1" applyProtection="1">
      <alignment horizontal="center" vertical="center" wrapText="1"/>
      <protection hidden="1"/>
    </xf>
    <xf numFmtId="0" fontId="20" fillId="15" borderId="15" xfId="0" applyFont="1" applyFill="1" applyBorder="1" applyAlignment="1" applyProtection="1">
      <alignment horizontal="center" vertical="center" wrapText="1"/>
      <protection hidden="1"/>
    </xf>
    <xf numFmtId="0" fontId="20" fillId="15" borderId="26" xfId="0" applyFont="1" applyFill="1" applyBorder="1" applyAlignment="1" applyProtection="1">
      <alignment horizontal="center" vertical="center" wrapText="1"/>
      <protection hidden="1"/>
    </xf>
    <xf numFmtId="0" fontId="43" fillId="5" borderId="15" xfId="0" applyFont="1" applyFill="1" applyBorder="1" applyAlignment="1" applyProtection="1">
      <alignment horizontal="center" vertical="center"/>
      <protection hidden="1"/>
    </xf>
    <xf numFmtId="0" fontId="43" fillId="5" borderId="26" xfId="0" applyFont="1" applyFill="1" applyBorder="1" applyAlignment="1" applyProtection="1">
      <alignment horizontal="center" vertical="center"/>
      <protection hidden="1"/>
    </xf>
    <xf numFmtId="0" fontId="26" fillId="24" borderId="0" xfId="0" applyFont="1" applyFill="1" applyBorder="1" applyAlignment="1" applyProtection="1">
      <alignment horizontal="center"/>
      <protection hidden="1"/>
    </xf>
    <xf numFmtId="0" fontId="7" fillId="43" borderId="0" xfId="0" applyFont="1" applyFill="1" applyBorder="1" applyAlignment="1" applyProtection="1">
      <alignment horizontal="center" vertical="center"/>
      <protection hidden="1"/>
    </xf>
    <xf numFmtId="0" fontId="1" fillId="23" borderId="43" xfId="0" applyFont="1" applyFill="1" applyBorder="1" applyAlignment="1" applyProtection="1">
      <alignment horizontal="left" vertical="center" wrapText="1"/>
      <protection hidden="1"/>
    </xf>
    <xf numFmtId="0" fontId="1" fillId="23" borderId="0" xfId="0" applyFont="1" applyFill="1" applyBorder="1" applyAlignment="1" applyProtection="1">
      <alignment horizontal="left" vertical="center" wrapText="1"/>
      <protection hidden="1"/>
    </xf>
    <xf numFmtId="165" fontId="3" fillId="48" borderId="0" xfId="0" applyNumberFormat="1" applyFont="1" applyFill="1" applyBorder="1" applyAlignment="1" applyProtection="1">
      <alignment horizontal="left"/>
      <protection hidden="1"/>
    </xf>
    <xf numFmtId="0" fontId="7" fillId="25" borderId="2" xfId="0" applyFont="1" applyFill="1" applyBorder="1" applyAlignment="1" applyProtection="1">
      <alignment horizontal="center"/>
      <protection hidden="1"/>
    </xf>
    <xf numFmtId="0" fontId="27" fillId="11" borderId="0" xfId="0" applyFont="1" applyFill="1" applyBorder="1" applyAlignment="1" applyProtection="1">
      <alignment horizontal="center"/>
      <protection hidden="1"/>
    </xf>
    <xf numFmtId="0" fontId="0" fillId="11" borderId="0" xfId="0" applyFill="1" applyBorder="1" applyAlignment="1" applyProtection="1">
      <alignment horizontal="center"/>
      <protection locked="0"/>
    </xf>
    <xf numFmtId="0" fontId="0" fillId="11" borderId="25" xfId="0" applyFill="1" applyBorder="1" applyAlignment="1" applyProtection="1">
      <alignment horizontal="center"/>
      <protection locked="0"/>
    </xf>
    <xf numFmtId="14" fontId="0" fillId="11" borderId="0" xfId="0" applyNumberFormat="1" applyFill="1" applyBorder="1" applyAlignment="1" applyProtection="1">
      <alignment horizontal="center" vertical="center"/>
      <protection locked="0"/>
    </xf>
    <xf numFmtId="0" fontId="19" fillId="23" borderId="23" xfId="0" applyFont="1" applyFill="1" applyBorder="1" applyAlignment="1" applyProtection="1">
      <alignment horizontal="center"/>
      <protection hidden="1"/>
    </xf>
    <xf numFmtId="14" fontId="0" fillId="15" borderId="0" xfId="0" applyNumberFormat="1" applyFill="1" applyAlignment="1" applyProtection="1">
      <alignment horizontal="center"/>
      <protection hidden="1"/>
    </xf>
    <xf numFmtId="0" fontId="7" fillId="48" borderId="36" xfId="0" applyFont="1" applyFill="1" applyBorder="1" applyAlignment="1" applyProtection="1">
      <alignment horizontal="center"/>
      <protection hidden="1"/>
    </xf>
    <xf numFmtId="0" fontId="7" fillId="48" borderId="37" xfId="0" applyFont="1" applyFill="1" applyBorder="1" applyAlignment="1" applyProtection="1">
      <alignment horizontal="center"/>
      <protection hidden="1"/>
    </xf>
    <xf numFmtId="0" fontId="7" fillId="48" borderId="38" xfId="0" applyFont="1" applyFill="1" applyBorder="1" applyAlignment="1" applyProtection="1">
      <alignment horizontal="center"/>
      <protection hidden="1"/>
    </xf>
    <xf numFmtId="0" fontId="7" fillId="48" borderId="6" xfId="0" applyFont="1" applyFill="1" applyBorder="1" applyAlignment="1" applyProtection="1">
      <alignment horizontal="center"/>
      <protection hidden="1"/>
    </xf>
    <xf numFmtId="0" fontId="7" fillId="48" borderId="7" xfId="0" applyFont="1" applyFill="1" applyBorder="1" applyAlignment="1" applyProtection="1">
      <alignment horizontal="center"/>
      <protection hidden="1"/>
    </xf>
    <xf numFmtId="0" fontId="7" fillId="48" borderId="5" xfId="0" applyFont="1" applyFill="1" applyBorder="1" applyAlignment="1" applyProtection="1">
      <alignment horizontal="center"/>
      <protection hidden="1"/>
    </xf>
    <xf numFmtId="0" fontId="21" fillId="5" borderId="15" xfId="0" applyFont="1" applyFill="1" applyBorder="1" applyAlignment="1" applyProtection="1">
      <alignment horizontal="left"/>
      <protection hidden="1"/>
    </xf>
    <xf numFmtId="0" fontId="19" fillId="23" borderId="0" xfId="0" applyFont="1" applyFill="1" applyBorder="1" applyAlignment="1" applyProtection="1">
      <alignment horizontal="left"/>
      <protection hidden="1"/>
    </xf>
    <xf numFmtId="0" fontId="3" fillId="15" borderId="25" xfId="0" applyFont="1" applyFill="1" applyBorder="1" applyAlignment="1" applyProtection="1">
      <alignment horizontal="center" vertical="center" wrapText="1"/>
      <protection hidden="1"/>
    </xf>
    <xf numFmtId="0" fontId="3" fillId="15" borderId="26" xfId="0" applyFont="1" applyFill="1" applyBorder="1" applyAlignment="1" applyProtection="1">
      <alignment horizontal="center" vertical="center" wrapText="1"/>
      <protection hidden="1"/>
    </xf>
    <xf numFmtId="0" fontId="19" fillId="21" borderId="0" xfId="0" applyFont="1" applyFill="1" applyBorder="1" applyAlignment="1" applyProtection="1">
      <alignment horizontal="center"/>
      <protection hidden="1"/>
    </xf>
    <xf numFmtId="14" fontId="3" fillId="11" borderId="0" xfId="0" applyNumberFormat="1" applyFont="1" applyFill="1" applyBorder="1" applyAlignment="1" applyProtection="1">
      <alignment horizontal="center"/>
      <protection locked="0"/>
    </xf>
    <xf numFmtId="0" fontId="3" fillId="11" borderId="0" xfId="0" applyFont="1" applyFill="1" applyBorder="1" applyAlignment="1" applyProtection="1">
      <alignment horizontal="center"/>
      <protection locked="0"/>
    </xf>
    <xf numFmtId="0" fontId="9" fillId="12" borderId="23" xfId="1" applyFill="1" applyBorder="1" applyAlignment="1" applyProtection="1">
      <alignment horizontal="center"/>
    </xf>
    <xf numFmtId="0" fontId="9" fillId="12" borderId="24" xfId="1" applyFill="1" applyBorder="1" applyAlignment="1" applyProtection="1">
      <alignment horizontal="center"/>
    </xf>
    <xf numFmtId="0" fontId="7" fillId="43" borderId="0" xfId="0" applyFont="1" applyFill="1" applyBorder="1" applyAlignment="1" applyProtection="1">
      <alignment horizontal="center"/>
      <protection hidden="1"/>
    </xf>
    <xf numFmtId="0" fontId="1" fillId="11" borderId="0" xfId="0" applyFont="1" applyFill="1" applyAlignment="1" applyProtection="1">
      <alignment horizontal="center"/>
      <protection hidden="1"/>
    </xf>
    <xf numFmtId="0" fontId="32" fillId="5" borderId="0" xfId="0" applyFont="1" applyFill="1" applyAlignment="1" applyProtection="1">
      <alignment horizontal="center"/>
      <protection hidden="1"/>
    </xf>
    <xf numFmtId="14" fontId="0" fillId="11" borderId="0" xfId="0" applyNumberFormat="1" applyFill="1" applyAlignment="1" applyProtection="1">
      <alignment horizontal="center"/>
      <protection hidden="1"/>
    </xf>
    <xf numFmtId="3" fontId="0" fillId="11" borderId="0" xfId="0" applyNumberFormat="1" applyFill="1" applyAlignment="1" applyProtection="1">
      <alignment horizontal="center"/>
      <protection hidden="1"/>
    </xf>
    <xf numFmtId="3" fontId="3" fillId="11" borderId="0" xfId="0" applyNumberFormat="1" applyFont="1" applyFill="1" applyAlignment="1" applyProtection="1">
      <alignment horizontal="center"/>
      <protection hidden="1"/>
    </xf>
    <xf numFmtId="0" fontId="0" fillId="11" borderId="0" xfId="0" applyFill="1" applyAlignment="1" applyProtection="1">
      <alignment horizontal="center"/>
      <protection hidden="1"/>
    </xf>
    <xf numFmtId="0" fontId="19" fillId="5" borderId="0" xfId="0" applyFont="1" applyFill="1" applyAlignment="1" applyProtection="1">
      <alignment horizontal="center" vertical="center" wrapText="1"/>
      <protection hidden="1"/>
    </xf>
    <xf numFmtId="0" fontId="34" fillId="37" borderId="0" xfId="1" applyFont="1" applyFill="1" applyAlignment="1" applyProtection="1">
      <alignment horizontal="center"/>
    </xf>
    <xf numFmtId="0" fontId="33" fillId="11" borderId="0" xfId="1" applyFont="1" applyFill="1" applyAlignment="1" applyProtection="1">
      <alignment horizontal="center"/>
    </xf>
    <xf numFmtId="0" fontId="34" fillId="5" borderId="0" xfId="1" applyFont="1" applyFill="1" applyAlignment="1" applyProtection="1">
      <alignment horizontal="center"/>
      <protection hidden="1"/>
    </xf>
    <xf numFmtId="0" fontId="19" fillId="5" borderId="0" xfId="0" applyFont="1" applyFill="1" applyBorder="1" applyAlignment="1" applyProtection="1">
      <alignment horizontal="center"/>
      <protection hidden="1"/>
    </xf>
    <xf numFmtId="0" fontId="2" fillId="43" borderId="8" xfId="0" applyFont="1" applyFill="1" applyBorder="1" applyAlignment="1" applyProtection="1">
      <alignment horizontal="center" vertical="center"/>
      <protection hidden="1"/>
    </xf>
    <xf numFmtId="0" fontId="2" fillId="43" borderId="15" xfId="0" applyFont="1" applyFill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16" fillId="4" borderId="6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/>
      <protection hidden="1"/>
    </xf>
    <xf numFmtId="0" fontId="6" fillId="13" borderId="0" xfId="0" applyFont="1" applyFill="1" applyBorder="1" applyAlignment="1" applyProtection="1">
      <alignment horizontal="center" vertical="center" wrapText="1"/>
      <protection hidden="1"/>
    </xf>
    <xf numFmtId="4" fontId="0" fillId="16" borderId="2" xfId="0" applyNumberFormat="1" applyFill="1" applyBorder="1" applyAlignment="1" applyProtection="1">
      <alignment horizontal="right" vertical="center"/>
      <protection hidden="1"/>
    </xf>
    <xf numFmtId="165" fontId="3" fillId="14" borderId="2" xfId="0" applyNumberFormat="1" applyFont="1" applyFill="1" applyBorder="1" applyAlignment="1" applyProtection="1">
      <protection hidden="1"/>
    </xf>
    <xf numFmtId="0" fontId="2" fillId="9" borderId="16" xfId="0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Alignment="1" applyProtection="1">
      <alignment horizontal="center"/>
      <protection hidden="1"/>
    </xf>
    <xf numFmtId="0" fontId="17" fillId="15" borderId="2" xfId="0" applyFont="1" applyFill="1" applyBorder="1" applyAlignment="1" applyProtection="1">
      <alignment horizontal="center"/>
      <protection hidden="1"/>
    </xf>
    <xf numFmtId="0" fontId="44" fillId="12" borderId="0" xfId="0" applyFont="1" applyFill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3" fillId="20" borderId="2" xfId="0" applyFont="1" applyFill="1" applyBorder="1" applyAlignment="1" applyProtection="1">
      <alignment horizontal="center"/>
      <protection hidden="1"/>
    </xf>
    <xf numFmtId="0" fontId="3" fillId="17" borderId="2" xfId="0" applyFont="1" applyFill="1" applyBorder="1" applyAlignment="1" applyProtection="1">
      <alignment horizontal="center"/>
      <protection hidden="1"/>
    </xf>
    <xf numFmtId="0" fontId="3" fillId="18" borderId="2" xfId="0" applyFont="1" applyFill="1" applyBorder="1" applyAlignment="1" applyProtection="1">
      <alignment horizontal="center"/>
      <protection hidden="1"/>
    </xf>
    <xf numFmtId="0" fontId="3" fillId="19" borderId="2" xfId="0" applyFont="1" applyFill="1" applyBorder="1" applyAlignment="1" applyProtection="1">
      <alignment horizontal="center"/>
      <protection hidden="1"/>
    </xf>
    <xf numFmtId="0" fontId="3" fillId="7" borderId="2" xfId="0" applyFont="1" applyFill="1" applyBorder="1" applyAlignment="1" applyProtection="1">
      <alignment horizontal="center"/>
      <protection hidden="1"/>
    </xf>
    <xf numFmtId="165" fontId="12" fillId="22" borderId="11" xfId="0" applyNumberFormat="1" applyFont="1" applyFill="1" applyBorder="1" applyAlignment="1">
      <alignment horizontal="center"/>
    </xf>
    <xf numFmtId="165" fontId="12" fillId="22" borderId="3" xfId="0" applyNumberFormat="1" applyFont="1" applyFill="1" applyBorder="1" applyAlignment="1">
      <alignment horizontal="center"/>
    </xf>
    <xf numFmtId="165" fontId="12" fillId="22" borderId="4" xfId="0" applyNumberFormat="1" applyFont="1" applyFill="1" applyBorder="1" applyAlignment="1">
      <alignment horizontal="center"/>
    </xf>
    <xf numFmtId="165" fontId="22" fillId="22" borderId="9" xfId="0" applyNumberFormat="1" applyFont="1" applyFill="1" applyBorder="1" applyAlignment="1">
      <alignment horizontal="center"/>
    </xf>
    <xf numFmtId="165" fontId="22" fillId="22" borderId="20" xfId="0" applyNumberFormat="1" applyFont="1" applyFill="1" applyBorder="1" applyAlignment="1">
      <alignment horizontal="center"/>
    </xf>
    <xf numFmtId="165" fontId="12" fillId="22" borderId="9" xfId="0" applyNumberFormat="1" applyFont="1" applyFill="1" applyBorder="1" applyAlignment="1">
      <alignment horizontal="center"/>
    </xf>
    <xf numFmtId="165" fontId="12" fillId="22" borderId="20" xfId="0" applyNumberFormat="1" applyFont="1" applyFill="1" applyBorder="1" applyAlignment="1">
      <alignment horizontal="center"/>
    </xf>
    <xf numFmtId="0" fontId="44" fillId="1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4" fontId="2" fillId="44" borderId="6" xfId="0" applyNumberFormat="1" applyFont="1" applyFill="1" applyBorder="1" applyAlignment="1" applyProtection="1">
      <alignment horizontal="center" vertical="center"/>
      <protection hidden="1"/>
    </xf>
    <xf numFmtId="4" fontId="2" fillId="44" borderId="5" xfId="0" applyNumberFormat="1" applyFont="1" applyFill="1" applyBorder="1" applyAlignment="1" applyProtection="1">
      <alignment horizontal="center" vertical="center"/>
      <protection hidden="1"/>
    </xf>
    <xf numFmtId="0" fontId="2" fillId="13" borderId="8" xfId="0" applyFont="1" applyFill="1" applyBorder="1" applyAlignment="1" applyProtection="1">
      <alignment horizontal="center" vertical="center"/>
      <protection hidden="1"/>
    </xf>
    <xf numFmtId="0" fontId="2" fillId="13" borderId="15" xfId="0" applyFont="1" applyFill="1" applyBorder="1" applyAlignment="1" applyProtection="1">
      <alignment horizontal="center" vertical="center"/>
      <protection hidden="1"/>
    </xf>
    <xf numFmtId="0" fontId="6" fillId="44" borderId="6" xfId="0" applyFont="1" applyFill="1" applyBorder="1" applyAlignment="1" applyProtection="1">
      <alignment horizontal="center" vertical="center" wrapText="1"/>
      <protection hidden="1"/>
    </xf>
    <xf numFmtId="0" fontId="6" fillId="44" borderId="5" xfId="0" applyFont="1" applyFill="1" applyBorder="1" applyAlignment="1" applyProtection="1">
      <alignment horizontal="center" vertical="center" wrapText="1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24" xfId="0" applyFont="1" applyBorder="1" applyAlignment="1" applyProtection="1">
      <alignment horizontal="center" vertical="center"/>
      <protection hidden="1"/>
    </xf>
    <xf numFmtId="0" fontId="39" fillId="15" borderId="2" xfId="0" applyFont="1" applyFill="1" applyBorder="1" applyAlignment="1" applyProtection="1">
      <alignment horizontal="center" vertical="center"/>
      <protection hidden="1"/>
    </xf>
    <xf numFmtId="0" fontId="45" fillId="2" borderId="0" xfId="0" applyFont="1" applyFill="1" applyProtection="1">
      <protection hidden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ABDB77"/>
      <color rgb="FF0000FF"/>
      <color rgb="FFF8B074"/>
      <color rgb="FFFFFFCC"/>
      <color rgb="FFEBF2DE"/>
      <color rgb="FFF47914"/>
      <color rgb="FF08E8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Tiempos de cotizaci&#243;n'!A1"/><Relationship Id="rId2" Type="http://schemas.openxmlformats.org/officeDocument/2006/relationships/hyperlink" Target="#Resultado!A1"/><Relationship Id="rId1" Type="http://schemas.openxmlformats.org/officeDocument/2006/relationships/hyperlink" Target="http://www.gobiernodecanarias.org/educacion/web/servicios/oficina_virtual_personal_docente/" TargetMode="External"/><Relationship Id="rId4" Type="http://schemas.openxmlformats.org/officeDocument/2006/relationships/hyperlink" Target="#Normativa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docentesdecanarias.org/dci/index.php/jubilacion-60-anos-y-30-anos-servicio" TargetMode="External"/><Relationship Id="rId1" Type="http://schemas.openxmlformats.org/officeDocument/2006/relationships/hyperlink" Target="#Dat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21</xdr:row>
      <xdr:rowOff>123825</xdr:rowOff>
    </xdr:from>
    <xdr:to>
      <xdr:col>11</xdr:col>
      <xdr:colOff>447300</xdr:colOff>
      <xdr:row>23</xdr:row>
      <xdr:rowOff>120234</xdr:rowOff>
    </xdr:to>
    <xdr:sp macro="" textlink="">
      <xdr:nvSpPr>
        <xdr:cNvPr id="10" name="Shape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71850" y="2724150"/>
          <a:ext cx="1371225" cy="22500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AC090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466726</xdr:colOff>
      <xdr:row>57</xdr:row>
      <xdr:rowOff>66674</xdr:rowOff>
    </xdr:from>
    <xdr:to>
      <xdr:col>18</xdr:col>
      <xdr:colOff>752476</xdr:colOff>
      <xdr:row>60</xdr:row>
      <xdr:rowOff>28574</xdr:rowOff>
    </xdr:to>
    <xdr:sp macro="" textlink="">
      <xdr:nvSpPr>
        <xdr:cNvPr id="6" name="Shape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76676" y="6667499"/>
          <a:ext cx="3028950" cy="4476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AC090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3</xdr:col>
      <xdr:colOff>85726</xdr:colOff>
      <xdr:row>56</xdr:row>
      <xdr:rowOff>133350</xdr:rowOff>
    </xdr:from>
    <xdr:to>
      <xdr:col>7</xdr:col>
      <xdr:colOff>38100</xdr:colOff>
      <xdr:row>59</xdr:row>
      <xdr:rowOff>152400</xdr:rowOff>
    </xdr:to>
    <xdr:sp macro="" textlink="">
      <xdr:nvSpPr>
        <xdr:cNvPr id="3" name="Shap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776" y="6572250"/>
          <a:ext cx="2600324" cy="50482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009900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3</xdr:col>
      <xdr:colOff>114300</xdr:colOff>
      <xdr:row>56</xdr:row>
      <xdr:rowOff>152401</xdr:rowOff>
    </xdr:from>
    <xdr:to>
      <xdr:col>8</xdr:col>
      <xdr:colOff>47625</xdr:colOff>
      <xdr:row>59</xdr:row>
      <xdr:rowOff>142876</xdr:rowOff>
    </xdr:to>
    <xdr:sp macro="" textlink="">
      <xdr:nvSpPr>
        <xdr:cNvPr id="2" name="Shape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50" y="6591301"/>
          <a:ext cx="2657475" cy="4762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Ver</a:t>
          </a:r>
          <a:r>
            <a:rPr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 resultado</a:t>
          </a:r>
        </a:p>
      </xdr:txBody>
    </xdr:sp>
    <xdr:clientData/>
  </xdr:twoCellAnchor>
  <xdr:twoCellAnchor>
    <xdr:from>
      <xdr:col>9</xdr:col>
      <xdr:colOff>447675</xdr:colOff>
      <xdr:row>57</xdr:row>
      <xdr:rowOff>47625</xdr:rowOff>
    </xdr:from>
    <xdr:to>
      <xdr:col>18</xdr:col>
      <xdr:colOff>790575</xdr:colOff>
      <xdr:row>60</xdr:row>
      <xdr:rowOff>9525</xdr:rowOff>
    </xdr:to>
    <xdr:sp macro="" textlink="">
      <xdr:nvSpPr>
        <xdr:cNvPr id="5" name="Shape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57625" y="6648450"/>
          <a:ext cx="3086100" cy="44767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Ver cotizaciones</a:t>
          </a:r>
          <a:endParaRPr sz="2800" b="1" i="0" u="none" strike="noStrike" cap="none" spc="0" baseline="0">
            <a:ln>
              <a:noFill/>
            </a:ln>
            <a:solidFill>
              <a:srgbClr val="333333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19</xdr:col>
      <xdr:colOff>304800</xdr:colOff>
      <xdr:row>57</xdr:row>
      <xdr:rowOff>85725</xdr:rowOff>
    </xdr:from>
    <xdr:to>
      <xdr:col>22</xdr:col>
      <xdr:colOff>9525</xdr:colOff>
      <xdr:row>60</xdr:row>
      <xdr:rowOff>57150</xdr:rowOff>
    </xdr:to>
    <xdr:sp macro="" textlink="">
      <xdr:nvSpPr>
        <xdr:cNvPr id="7" name="Shape 3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05725" y="6686550"/>
          <a:ext cx="2838450" cy="4572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F3333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19</xdr:col>
      <xdr:colOff>400051</xdr:colOff>
      <xdr:row>57</xdr:row>
      <xdr:rowOff>85727</xdr:rowOff>
    </xdr:from>
    <xdr:to>
      <xdr:col>21</xdr:col>
      <xdr:colOff>1009651</xdr:colOff>
      <xdr:row>60</xdr:row>
      <xdr:rowOff>28576</xdr:rowOff>
    </xdr:to>
    <xdr:sp macro="" textlink="">
      <xdr:nvSpPr>
        <xdr:cNvPr id="8" name="Shape 2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00976" y="6686552"/>
          <a:ext cx="2590800" cy="42862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Ver normativa</a:t>
          </a:r>
          <a:endParaRPr sz="2800" b="1" i="0" u="none" strike="noStrike" cap="none" spc="0" baseline="0">
            <a:ln>
              <a:noFill/>
            </a:ln>
            <a:solidFill>
              <a:srgbClr val="333333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8</xdr:col>
      <xdr:colOff>180975</xdr:colOff>
      <xdr:row>21</xdr:row>
      <xdr:rowOff>133350</xdr:rowOff>
    </xdr:from>
    <xdr:to>
      <xdr:col>11</xdr:col>
      <xdr:colOff>511567</xdr:colOff>
      <xdr:row>23</xdr:row>
      <xdr:rowOff>111061</xdr:rowOff>
    </xdr:to>
    <xdr:sp macro="" textlink="">
      <xdr:nvSpPr>
        <xdr:cNvPr id="9" name="Shap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05175" y="2733675"/>
          <a:ext cx="1425967" cy="20631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2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Ir a hoja servicios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71</xdr:row>
      <xdr:rowOff>133351</xdr:rowOff>
    </xdr:from>
    <xdr:to>
      <xdr:col>3</xdr:col>
      <xdr:colOff>209550</xdr:colOff>
      <xdr:row>75</xdr:row>
      <xdr:rowOff>57151</xdr:rowOff>
    </xdr:to>
    <xdr:sp macro="" textlink="">
      <xdr:nvSpPr>
        <xdr:cNvPr id="3" name="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475" y="7439026"/>
          <a:ext cx="2686050" cy="5715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F3333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3</xdr:col>
      <xdr:colOff>180975</xdr:colOff>
      <xdr:row>74</xdr:row>
      <xdr:rowOff>142875</xdr:rowOff>
    </xdr:to>
    <xdr:sp macro="" textlink="">
      <xdr:nvSpPr>
        <xdr:cNvPr id="2" name="Shap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1475" y="7467600"/>
          <a:ext cx="2657475" cy="46672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Volver a datos</a:t>
          </a:r>
          <a:endParaRPr sz="2800" b="1" i="0" u="none" strike="noStrike" cap="none" spc="0" baseline="0">
            <a:ln>
              <a:noFill/>
            </a:ln>
            <a:solidFill>
              <a:srgbClr val="333333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3</xdr:col>
      <xdr:colOff>668316</xdr:colOff>
      <xdr:row>70</xdr:row>
      <xdr:rowOff>90237</xdr:rowOff>
    </xdr:from>
    <xdr:to>
      <xdr:col>11</xdr:col>
      <xdr:colOff>603752</xdr:colOff>
      <xdr:row>76</xdr:row>
      <xdr:rowOff>102508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516291" y="7786437"/>
          <a:ext cx="3469211" cy="983821"/>
          <a:chOff x="57510" y="-1577548"/>
          <a:chExt cx="3963181" cy="974798"/>
        </a:xfrm>
      </xdr:grpSpPr>
      <xdr:sp macro="" textlink="">
        <xdr:nvSpPr>
          <xdr:cNvPr id="5" name="Shape 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7510" y="-1493921"/>
            <a:ext cx="3920757" cy="84726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746" y="0"/>
                </a:moveTo>
                <a:cubicBezTo>
                  <a:pt x="373" y="0"/>
                  <a:pt x="0" y="1795"/>
                  <a:pt x="0" y="3600"/>
                </a:cubicBezTo>
                <a:lnTo>
                  <a:pt x="0" y="18000"/>
                </a:lnTo>
                <a:cubicBezTo>
                  <a:pt x="0" y="19795"/>
                  <a:pt x="373" y="21600"/>
                  <a:pt x="746" y="21600"/>
                </a:cubicBezTo>
                <a:lnTo>
                  <a:pt x="20852" y="21600"/>
                </a:lnTo>
                <a:cubicBezTo>
                  <a:pt x="21225" y="21600"/>
                  <a:pt x="21600" y="19795"/>
                  <a:pt x="21600" y="18000"/>
                </a:cubicBezTo>
                <a:lnTo>
                  <a:pt x="21600" y="3600"/>
                </a:lnTo>
                <a:cubicBezTo>
                  <a:pt x="21600" y="1795"/>
                  <a:pt x="21225" y="0"/>
                  <a:pt x="20852" y="0"/>
                </a:cubicBezTo>
                <a:lnTo>
                  <a:pt x="746" y="0"/>
                </a:lnTo>
              </a:path>
            </a:pathLst>
          </a:custGeom>
          <a:solidFill>
            <a:srgbClr val="009900"/>
          </a:solidFill>
          <a:ln w="9360" cap="sq">
            <a:solidFill>
              <a:srgbClr val="3465A4"/>
            </a:solidFill>
            <a:prstDash val="solid"/>
            <a:round/>
          </a:ln>
          <a:effectLst>
            <a:outerShdw blurRad="63500" dist="101823" dir="2700000" rotWithShape="0">
              <a:srgbClr val="808080"/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" name="Shap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61466" y="-1577548"/>
            <a:ext cx="3959225" cy="97479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44999" tIns="44999" rIns="44999" bIns="44999" numCol="1" anchor="ctr">
            <a:noAutofit/>
          </a:bodyPr>
          <a:lstStyle/>
          <a:p>
            <a:pPr marL="0" marR="0" indent="0" algn="ctr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ln>
                  <a:noFill/>
                </a:ln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lang="es-ES" sz="2800" b="1" i="0" u="none" strike="noStrike" cap="none" spc="0" baseline="0">
                <a:ln>
                  <a:noFill/>
                </a:ln>
                <a:solidFill>
                  <a:srgbClr val="333333"/>
                </a:solidFill>
                <a:uFillTx/>
                <a:latin typeface="Arial"/>
                <a:ea typeface="Arial"/>
                <a:cs typeface="Arial"/>
                <a:sym typeface="Arial"/>
              </a:rPr>
              <a:t>Acceder a impresos solicitud</a:t>
            </a:r>
            <a:endParaRPr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018/Nomina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sucan%202018%202019/Jubilaci&#243;n/Jubil2018%20(Presup2018jul%20a%20Di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omina2021_V2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"/>
      <sheetName val="Datos IRPF"/>
      <sheetName val="Retribuciones"/>
      <sheetName val="Hoja2"/>
      <sheetName val="Hoja1"/>
    </sheetNames>
    <sheetDataSet>
      <sheetData sheetId="0">
        <row r="51">
          <cell r="D51">
            <v>-2481.698425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LTADO"/>
      <sheetName val="Tiempos de cotización"/>
      <sheetName val="DatosIRPF"/>
      <sheetName val="Haber Regulador"/>
      <sheetName val="IRPFPensión"/>
      <sheetName val="Retribuciones"/>
      <sheetName val="Normativas"/>
      <sheetName val="IRPF A1"/>
      <sheetName val="IRPFPensiónMax"/>
      <sheetName val="IRPF Maestros"/>
      <sheetName val="IRPF 1º y 2ª ESO"/>
      <sheetName val="IRPF TecnFP"/>
      <sheetName val="IRPF Secund"/>
      <sheetName val="IRPF Catred"/>
      <sheetName val="IRPF Inspect"/>
      <sheetName val="deducciones"/>
      <sheetName val="Importe"/>
      <sheetName val="Cálculo sencillo"/>
      <sheetName val="Hoja2"/>
    </sheetNames>
    <sheetDataSet>
      <sheetData sheetId="0" refreshError="1">
        <row r="11">
          <cell r="E11" t="str">
            <v>Profesores de Enseñanza Secundaria</v>
          </cell>
        </row>
      </sheetData>
      <sheetData sheetId="1" refreshError="1"/>
      <sheetData sheetId="2" refreshError="1">
        <row r="5">
          <cell r="K5">
            <v>10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</sheetData>
      <sheetData sheetId="3" refreshError="1"/>
      <sheetData sheetId="4" refreshError="1"/>
      <sheetData sheetId="5" refreshError="1"/>
      <sheetData sheetId="6" refreshError="1">
        <row r="4">
          <cell r="C4" t="str">
            <v>Inspector</v>
          </cell>
          <cell r="AD4">
            <v>10</v>
          </cell>
        </row>
        <row r="5">
          <cell r="C5" t="str">
            <v>Catedrático</v>
          </cell>
          <cell r="AD5">
            <v>10</v>
          </cell>
        </row>
        <row r="6">
          <cell r="C6" t="str">
            <v>Profesores de Artes Plásticas y Diseño</v>
          </cell>
          <cell r="AD6">
            <v>10</v>
          </cell>
        </row>
        <row r="7">
          <cell r="C7" t="str">
            <v>Profesores de Musica y Artes Escénicas</v>
          </cell>
          <cell r="AD7">
            <v>10</v>
          </cell>
        </row>
        <row r="8">
          <cell r="C8" t="str">
            <v>Profesores de Escuelas Oficiales de Idiomas</v>
          </cell>
          <cell r="AD8">
            <v>10</v>
          </cell>
        </row>
        <row r="9">
          <cell r="C9" t="str">
            <v>Profesores de Enseñanza Secundaria</v>
          </cell>
          <cell r="AD9">
            <v>10</v>
          </cell>
        </row>
        <row r="10">
          <cell r="C10" t="str">
            <v>Maestros de Taller de Artes Plásticas y Diseño</v>
          </cell>
          <cell r="AD10">
            <v>0</v>
          </cell>
        </row>
        <row r="11">
          <cell r="C11" t="str">
            <v>Profesores Técnicos de Formación Profesional</v>
          </cell>
          <cell r="AD11">
            <v>0</v>
          </cell>
        </row>
        <row r="12">
          <cell r="C12" t="str">
            <v>Maestros 1º y 2º ESO</v>
          </cell>
          <cell r="AD12">
            <v>0</v>
          </cell>
        </row>
        <row r="13">
          <cell r="C13" t="str">
            <v>Maestros</v>
          </cell>
          <cell r="AD13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"/>
      <sheetName val="Nomina1dia"/>
      <sheetName val="Nóminab"/>
      <sheetName val="IRPF año completo"/>
      <sheetName val="IRPF meses nombrado"/>
      <sheetName val="Retribuciones"/>
      <sheetName val="SexeniosPerdidos"/>
    </sheetNames>
    <sheetDataSet>
      <sheetData sheetId="0"/>
      <sheetData sheetId="1"/>
      <sheetData sheetId="2">
        <row r="5">
          <cell r="C5" t="str">
            <v>590-Profesores Enseñanza Secundaria</v>
          </cell>
        </row>
        <row r="7">
          <cell r="C7">
            <v>28</v>
          </cell>
        </row>
        <row r="10">
          <cell r="C10" t="str">
            <v>No</v>
          </cell>
        </row>
        <row r="13">
          <cell r="C13" t="str">
            <v>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de.seg-social.gob.es/wps/portal/sede/sede/Ciudadanos/!ut/p/z1/04_Sj9CPykssy0xPLMnMz0vMAfIjo8zijQ3NTAwtDQx93A08XQ0cQ329Qy2NA43djcz0w_EpMLA00I8iRr8BDuBIhP4ofErALgArwGNFcGqxfkFuaIRBlokiAPa1s3w!/dz/d5/L2dBISEvZ0FBIS9nQSEh/" TargetMode="External"/><Relationship Id="rId2" Type="http://schemas.openxmlformats.org/officeDocument/2006/relationships/hyperlink" Target="http://docentesdecanarias.org/dci/index.php/jubilacion/160-reconocimiento-del-servicio-militar-a-efectos-de-cotizacion" TargetMode="External"/><Relationship Id="rId1" Type="http://schemas.openxmlformats.org/officeDocument/2006/relationships/hyperlink" Target="http://docentesdecanarias.org/dci/index.php/reconocimiento-de-periodo-por-hijo-nacido-antes-de-trabaja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ocentesdecanarias.org/dci/index.php/reconocimiento-de-periodo-por-hijo-nacido-en-situacion-de-desempleo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biernodecanarias.org/cpj/dgfp/index.jsp?idc=316&amp;idn=34" TargetMode="External"/><Relationship Id="rId1" Type="http://schemas.openxmlformats.org/officeDocument/2006/relationships/hyperlink" Target="http://www.gobiernodecanarias.org/cpj/dgfp/empleados_publicos/polizas/documentacion_lugares_contacto.pdf" TargetMode="External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lasespasivas.gob.es/sitios/sedeclasespasivas/es-ES/Paginas/inicio.aspx" TargetMode="External"/><Relationship Id="rId3" Type="http://schemas.openxmlformats.org/officeDocument/2006/relationships/hyperlink" Target="http://www.seg-social.es/Internet_1/Normativa/index.htm?dDocName=095160&amp;C1=1001&amp;C2=2009" TargetMode="External"/><Relationship Id="rId7" Type="http://schemas.openxmlformats.org/officeDocument/2006/relationships/hyperlink" Target="http://www.clasespasivas.sepg.pap.minhap.gob.es/sitios/clasespasivas/es-ES/Normativa/Documents/Pensiones%20de%20Clases%20Pasivas/0107%20Resoluci%C3%B3n%20de%2018%20de%20marzo%20de%202010%20J%20electr%C3%B3nico.pdf" TargetMode="External"/><Relationship Id="rId12" Type="http://schemas.openxmlformats.org/officeDocument/2006/relationships/hyperlink" Target="http://www.clasespasivas.sepg.pap.minhap.gob.es/sitios/clasespasivas/es-ES/PensionesPrestaciones/PENSIONESCLASESPASIVAS/pensionesjubilacion/Paginas/Normasgenerales.aspx" TargetMode="External"/><Relationship Id="rId2" Type="http://schemas.openxmlformats.org/officeDocument/2006/relationships/hyperlink" Target="http://www.boe.es/diario_boe/txt.php?id=BOE-A-1991-10601" TargetMode="External"/><Relationship Id="rId1" Type="http://schemas.openxmlformats.org/officeDocument/2006/relationships/hyperlink" Target="http://www.boe.es/buscar/act.php?id=BOE-A-1987-12636" TargetMode="External"/><Relationship Id="rId6" Type="http://schemas.openxmlformats.org/officeDocument/2006/relationships/hyperlink" Target="https://www.boe.es/buscar/act.php?id=BOE-A-2015-11644" TargetMode="External"/><Relationship Id="rId11" Type="http://schemas.openxmlformats.org/officeDocument/2006/relationships/hyperlink" Target="mailto:Clases.pasivas@sepg.minhap.es" TargetMode="External"/><Relationship Id="rId5" Type="http://schemas.openxmlformats.org/officeDocument/2006/relationships/hyperlink" Target="http://www.boe.es/diario_boe/txt.php?id=BOE-A-2009-7194" TargetMode="External"/><Relationship Id="rId10" Type="http://schemas.openxmlformats.org/officeDocument/2006/relationships/hyperlink" Target="http://www.clasespasivas.sepg.pap.minhap.gob.es/sitios/clasespasivas/es-ES/infoFuturaPension/Paginas/infoPreviaJubilacion.aspx" TargetMode="External"/><Relationship Id="rId4" Type="http://schemas.openxmlformats.org/officeDocument/2006/relationships/hyperlink" Target="http://www.boe.es/diario_boe/txt.php?id=BOE-A-2000-6747" TargetMode="External"/><Relationship Id="rId9" Type="http://schemas.openxmlformats.org/officeDocument/2006/relationships/hyperlink" Target="http://www.igae.pap.minhap.gob.es/simula/faces/pages/simulaIndex.jspx?_afrLoop=7466975001484790&amp;_afrWindowMode=0&amp;_adf.ctrl-state=17i2a4cjgd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AO97"/>
  <sheetViews>
    <sheetView tabSelected="1" workbookViewId="0">
      <selection activeCell="AB43" sqref="AB43"/>
    </sheetView>
    <sheetView workbookViewId="1"/>
  </sheetViews>
  <sheetFormatPr baseColWidth="10" defaultRowHeight="12.75" x14ac:dyDescent="0.2"/>
  <cols>
    <col min="1" max="1" width="3.140625" style="1" customWidth="1"/>
    <col min="2" max="2" width="1.5703125" style="1" customWidth="1"/>
    <col min="3" max="3" width="1.28515625" style="1" customWidth="1"/>
    <col min="4" max="4" width="18.85546875" style="1" bestFit="1" customWidth="1"/>
    <col min="5" max="5" width="6.85546875" style="1" customWidth="1"/>
    <col min="6" max="6" width="7.42578125" style="1" customWidth="1"/>
    <col min="7" max="7" width="6.5703125" style="1" customWidth="1"/>
    <col min="8" max="8" width="1.140625" style="1" customWidth="1"/>
    <col min="9" max="9" width="5.42578125" style="1" customWidth="1"/>
    <col min="10" max="10" width="10.85546875" style="1" customWidth="1"/>
    <col min="11" max="11" width="1.28515625" style="1" customWidth="1"/>
    <col min="12" max="12" width="11.28515625" style="1" customWidth="1"/>
    <col min="13" max="14" width="1.42578125" style="1" customWidth="1"/>
    <col min="15" max="15" width="1" style="1" customWidth="1"/>
    <col min="16" max="16" width="2.28515625" style="1" customWidth="1"/>
    <col min="17" max="17" width="3.7109375" style="1" customWidth="1"/>
    <col min="18" max="18" width="10.28515625" style="1" customWidth="1"/>
    <col min="19" max="19" width="16.28515625" style="1" customWidth="1"/>
    <col min="20" max="20" width="21.28515625" style="1" customWidth="1"/>
    <col min="21" max="21" width="8.42578125" style="1" customWidth="1"/>
    <col min="22" max="22" width="17.28515625" style="1" customWidth="1"/>
    <col min="23" max="23" width="1.28515625" style="1" customWidth="1"/>
    <col min="24" max="24" width="5.42578125" style="1" customWidth="1"/>
    <col min="25" max="25" width="6.28515625" style="1" customWidth="1"/>
    <col min="26" max="26" width="1.28515625" style="1" customWidth="1"/>
    <col min="27" max="27" width="1.7109375" style="1" customWidth="1"/>
    <col min="28" max="28" width="99.28515625" style="1" bestFit="1" customWidth="1"/>
    <col min="29" max="29" width="11.42578125" style="1" customWidth="1"/>
    <col min="30" max="30" width="38.7109375" style="1" customWidth="1"/>
    <col min="31" max="31" width="3.28515625" style="1" hidden="1" customWidth="1"/>
    <col min="32" max="32" width="38.7109375" style="1" hidden="1" customWidth="1"/>
    <col min="33" max="33" width="24" style="1" hidden="1" customWidth="1"/>
    <col min="34" max="34" width="7.5703125" style="1" hidden="1" customWidth="1"/>
    <col min="35" max="35" width="19.42578125" style="1" hidden="1" customWidth="1"/>
    <col min="36" max="36" width="23.7109375" style="1" hidden="1" customWidth="1"/>
    <col min="37" max="37" width="6.5703125" style="1" hidden="1" customWidth="1"/>
    <col min="38" max="38" width="4.85546875" style="1" hidden="1" customWidth="1"/>
    <col min="39" max="40" width="11.42578125" style="1" hidden="1" customWidth="1"/>
    <col min="41" max="41" width="7.85546875" style="1" customWidth="1"/>
    <col min="42" max="68" width="11.42578125" style="1" customWidth="1"/>
    <col min="69" max="16384" width="11.42578125" style="1"/>
  </cols>
  <sheetData>
    <row r="1" spans="1:41" ht="18" x14ac:dyDescent="0.2">
      <c r="A1" s="119"/>
      <c r="B1" s="120"/>
      <c r="C1" s="455" t="s">
        <v>346</v>
      </c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119"/>
      <c r="AA1" s="119"/>
      <c r="AB1" s="16"/>
      <c r="AC1" s="16"/>
      <c r="AD1" s="16"/>
      <c r="AE1" s="16"/>
    </row>
    <row r="2" spans="1:41" ht="18" x14ac:dyDescent="0.25">
      <c r="A2" s="119"/>
      <c r="B2" s="120"/>
      <c r="C2" s="454" t="s">
        <v>248</v>
      </c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119"/>
      <c r="AA2" s="119"/>
      <c r="AB2" s="16"/>
      <c r="AC2" s="16"/>
      <c r="AD2" s="16"/>
      <c r="AE2" s="16"/>
    </row>
    <row r="3" spans="1:41" ht="3" customHeight="1" x14ac:dyDescent="0.25">
      <c r="A3" s="119"/>
      <c r="B3" s="120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19"/>
      <c r="AA3" s="119"/>
      <c r="AB3" s="16"/>
      <c r="AC3" s="16"/>
      <c r="AD3" s="16"/>
      <c r="AE3" s="16"/>
    </row>
    <row r="4" spans="1:41" ht="13.5" customHeight="1" x14ac:dyDescent="0.25">
      <c r="A4" s="119"/>
      <c r="B4" s="120"/>
      <c r="C4" s="105"/>
      <c r="D4" s="460" t="s">
        <v>188</v>
      </c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119"/>
      <c r="AA4" s="119"/>
      <c r="AB4" s="16"/>
      <c r="AC4" s="16"/>
      <c r="AD4" s="16"/>
      <c r="AE4" s="16"/>
    </row>
    <row r="5" spans="1:41" ht="4.5" customHeight="1" thickBot="1" x14ac:dyDescent="0.2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6"/>
      <c r="AC5" s="16"/>
      <c r="AD5" s="16"/>
      <c r="AE5" s="16"/>
    </row>
    <row r="6" spans="1:41" ht="7.5" customHeight="1" x14ac:dyDescent="0.2">
      <c r="A6" s="119"/>
      <c r="B6" s="405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06"/>
      <c r="N6" s="119"/>
      <c r="O6" s="405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06"/>
      <c r="AA6" s="119"/>
      <c r="AB6" s="16"/>
      <c r="AC6" s="16"/>
      <c r="AD6" s="16"/>
      <c r="AE6" s="16"/>
    </row>
    <row r="7" spans="1:41" ht="18" x14ac:dyDescent="0.25">
      <c r="A7" s="119"/>
      <c r="B7" s="407"/>
      <c r="C7" s="459" t="s">
        <v>124</v>
      </c>
      <c r="D7" s="459"/>
      <c r="E7" s="459"/>
      <c r="F7" s="459"/>
      <c r="G7" s="459"/>
      <c r="H7" s="459"/>
      <c r="I7" s="459"/>
      <c r="J7" s="459"/>
      <c r="K7" s="459"/>
      <c r="L7" s="459"/>
      <c r="M7" s="408"/>
      <c r="N7" s="119"/>
      <c r="O7" s="407"/>
      <c r="P7" s="459" t="s">
        <v>135</v>
      </c>
      <c r="Q7" s="459"/>
      <c r="R7" s="459"/>
      <c r="S7" s="459"/>
      <c r="T7" s="459"/>
      <c r="U7" s="459"/>
      <c r="V7" s="459"/>
      <c r="W7" s="459"/>
      <c r="X7" s="459"/>
      <c r="Y7" s="459"/>
      <c r="Z7" s="408"/>
      <c r="AA7" s="119"/>
      <c r="AB7" s="16"/>
      <c r="AC7" s="16"/>
      <c r="AD7" s="16"/>
      <c r="AE7" s="16"/>
    </row>
    <row r="8" spans="1:41" ht="5.25" customHeight="1" x14ac:dyDescent="0.2">
      <c r="A8" s="119"/>
      <c r="B8" s="407"/>
      <c r="C8" s="422"/>
      <c r="D8" s="155"/>
      <c r="E8" s="155"/>
      <c r="F8" s="155"/>
      <c r="G8" s="155"/>
      <c r="H8" s="155"/>
      <c r="I8" s="155"/>
      <c r="J8" s="155"/>
      <c r="K8" s="155"/>
      <c r="L8" s="423"/>
      <c r="M8" s="408"/>
      <c r="N8" s="119"/>
      <c r="O8" s="407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408"/>
      <c r="AA8" s="119"/>
      <c r="AB8" s="16"/>
      <c r="AC8" s="16"/>
      <c r="AD8" s="16"/>
      <c r="AE8" s="16"/>
    </row>
    <row r="9" spans="1:41" ht="15" x14ac:dyDescent="0.25">
      <c r="A9" s="119"/>
      <c r="B9" s="407"/>
      <c r="C9" s="422"/>
      <c r="D9" s="122" t="s">
        <v>106</v>
      </c>
      <c r="E9" s="461" t="s">
        <v>89</v>
      </c>
      <c r="F9" s="461"/>
      <c r="G9" s="461"/>
      <c r="H9" s="461"/>
      <c r="I9" s="461"/>
      <c r="J9" s="461"/>
      <c r="K9" s="461"/>
      <c r="L9" s="462"/>
      <c r="M9" s="408"/>
      <c r="N9" s="119"/>
      <c r="O9" s="407"/>
      <c r="P9" s="155"/>
      <c r="Q9" s="83"/>
      <c r="R9" s="404" t="s">
        <v>344</v>
      </c>
      <c r="S9" s="404"/>
      <c r="T9" s="404"/>
      <c r="U9" s="419"/>
      <c r="V9" s="419"/>
      <c r="W9" s="83"/>
      <c r="X9" s="400">
        <v>0</v>
      </c>
      <c r="Y9" s="420" t="s">
        <v>8</v>
      </c>
      <c r="Z9" s="408"/>
      <c r="AA9" s="119"/>
      <c r="AB9" s="16"/>
      <c r="AC9" s="16"/>
      <c r="AD9" s="16"/>
      <c r="AE9" s="16"/>
      <c r="AO9" s="42"/>
    </row>
    <row r="10" spans="1:41" ht="3" customHeight="1" x14ac:dyDescent="0.25">
      <c r="A10" s="119"/>
      <c r="B10" s="407"/>
      <c r="C10" s="424"/>
      <c r="D10" s="87"/>
      <c r="E10" s="87"/>
      <c r="F10" s="87"/>
      <c r="G10" s="87"/>
      <c r="H10" s="87"/>
      <c r="I10" s="87"/>
      <c r="J10" s="87"/>
      <c r="K10" s="87"/>
      <c r="L10" s="425"/>
      <c r="M10" s="408"/>
      <c r="N10" s="105"/>
      <c r="O10" s="407"/>
      <c r="P10" s="87"/>
      <c r="Q10" s="88"/>
      <c r="R10" s="88"/>
      <c r="S10" s="88"/>
      <c r="T10" s="88"/>
      <c r="U10" s="88"/>
      <c r="V10" s="88"/>
      <c r="W10" s="88"/>
      <c r="X10" s="88">
        <v>0</v>
      </c>
      <c r="Y10" s="88"/>
      <c r="Z10" s="408"/>
      <c r="AA10" s="119"/>
      <c r="AB10" s="16"/>
      <c r="AC10" s="16"/>
      <c r="AD10" s="16"/>
      <c r="AE10" s="16"/>
    </row>
    <row r="11" spans="1:41" ht="15" x14ac:dyDescent="0.25">
      <c r="A11" s="119"/>
      <c r="B11" s="407"/>
      <c r="C11" s="422"/>
      <c r="D11" s="122" t="s">
        <v>108</v>
      </c>
      <c r="E11" s="461" t="s">
        <v>11</v>
      </c>
      <c r="F11" s="461"/>
      <c r="G11" s="461"/>
      <c r="H11" s="461"/>
      <c r="I11" s="461"/>
      <c r="J11" s="461"/>
      <c r="K11" s="461"/>
      <c r="L11" s="462"/>
      <c r="M11" s="408"/>
      <c r="N11" s="119"/>
      <c r="O11" s="407"/>
      <c r="P11" s="155"/>
      <c r="Q11" s="83"/>
      <c r="R11" s="439" t="s">
        <v>342</v>
      </c>
      <c r="S11" s="439"/>
      <c r="T11" s="439"/>
      <c r="U11" s="439"/>
      <c r="V11" s="439"/>
      <c r="W11" s="83"/>
      <c r="X11" s="400">
        <v>0</v>
      </c>
      <c r="Y11" s="420" t="s">
        <v>8</v>
      </c>
      <c r="Z11" s="408"/>
      <c r="AA11" s="119"/>
      <c r="AB11" s="126" t="s">
        <v>343</v>
      </c>
      <c r="AC11" s="16"/>
      <c r="AD11" s="16"/>
      <c r="AE11" s="16"/>
    </row>
    <row r="12" spans="1:41" ht="3" customHeight="1" x14ac:dyDescent="0.25">
      <c r="A12" s="119"/>
      <c r="B12" s="407"/>
      <c r="C12" s="424"/>
      <c r="D12" s="87"/>
      <c r="E12" s="87"/>
      <c r="F12" s="87"/>
      <c r="G12" s="87"/>
      <c r="H12" s="87"/>
      <c r="I12" s="87"/>
      <c r="J12" s="87"/>
      <c r="K12" s="87"/>
      <c r="L12" s="425"/>
      <c r="M12" s="408"/>
      <c r="N12" s="105"/>
      <c r="O12" s="407"/>
      <c r="P12" s="87"/>
      <c r="Q12" s="88"/>
      <c r="R12" s="88"/>
      <c r="S12" s="88"/>
      <c r="T12" s="88"/>
      <c r="U12" s="88"/>
      <c r="V12" s="88"/>
      <c r="W12" s="88"/>
      <c r="X12" s="88"/>
      <c r="Y12" s="88"/>
      <c r="Z12" s="408"/>
      <c r="AA12" s="119"/>
      <c r="AB12" s="16"/>
      <c r="AC12" s="16"/>
      <c r="AD12" s="16"/>
      <c r="AE12" s="16"/>
    </row>
    <row r="13" spans="1:41" ht="15.75" thickBot="1" x14ac:dyDescent="0.3">
      <c r="A13" s="119"/>
      <c r="B13" s="407"/>
      <c r="C13" s="422"/>
      <c r="D13" s="122" t="s">
        <v>107</v>
      </c>
      <c r="E13" s="463">
        <v>22310</v>
      </c>
      <c r="F13" s="463"/>
      <c r="G13" s="155"/>
      <c r="H13" s="155"/>
      <c r="I13" s="155"/>
      <c r="J13" s="416" t="s">
        <v>70</v>
      </c>
      <c r="K13" s="155"/>
      <c r="L13" s="426" t="str">
        <f>IF(OR(E11=AF69,E11=AF70,E11=AF71,E11=AF72),AE69,AE73)</f>
        <v>A2</v>
      </c>
      <c r="M13" s="408"/>
      <c r="N13" s="119"/>
      <c r="O13" s="409"/>
      <c r="P13" s="417"/>
      <c r="Q13" s="410"/>
      <c r="R13" s="440" t="s">
        <v>187</v>
      </c>
      <c r="S13" s="440"/>
      <c r="T13" s="440"/>
      <c r="U13" s="440"/>
      <c r="V13" s="440"/>
      <c r="W13" s="410"/>
      <c r="X13" s="411">
        <v>0</v>
      </c>
      <c r="Y13" s="421" t="s">
        <v>8</v>
      </c>
      <c r="Z13" s="412"/>
      <c r="AA13" s="119"/>
      <c r="AB13" s="16"/>
      <c r="AC13" s="16"/>
      <c r="AD13" s="16"/>
      <c r="AE13" s="16"/>
    </row>
    <row r="14" spans="1:41" ht="3" customHeight="1" thickBot="1" x14ac:dyDescent="0.3">
      <c r="A14" s="119"/>
      <c r="B14" s="407"/>
      <c r="C14" s="424"/>
      <c r="D14" s="87"/>
      <c r="E14" s="87"/>
      <c r="F14" s="87"/>
      <c r="G14" s="87"/>
      <c r="H14" s="87"/>
      <c r="I14" s="87"/>
      <c r="J14" s="87"/>
      <c r="K14" s="87"/>
      <c r="L14" s="425"/>
      <c r="M14" s="408"/>
      <c r="N14" s="105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19"/>
      <c r="AB14" s="16"/>
      <c r="AC14" s="16"/>
      <c r="AD14" s="16"/>
      <c r="AE14" s="16"/>
    </row>
    <row r="15" spans="1:41" ht="18" x14ac:dyDescent="0.25">
      <c r="A15" s="119"/>
      <c r="B15" s="407"/>
      <c r="C15" s="422"/>
      <c r="D15" s="122" t="s">
        <v>9</v>
      </c>
      <c r="E15" s="463">
        <v>44489</v>
      </c>
      <c r="F15" s="463"/>
      <c r="G15" s="155"/>
      <c r="H15" s="155"/>
      <c r="I15" s="155"/>
      <c r="J15" s="155"/>
      <c r="K15" s="155"/>
      <c r="L15" s="423"/>
      <c r="M15" s="408"/>
      <c r="N15" s="119"/>
      <c r="O15" s="405"/>
      <c r="P15" s="466" t="s">
        <v>128</v>
      </c>
      <c r="Q15" s="467"/>
      <c r="R15" s="467"/>
      <c r="S15" s="467"/>
      <c r="T15" s="467"/>
      <c r="U15" s="467"/>
      <c r="V15" s="467"/>
      <c r="W15" s="467"/>
      <c r="X15" s="467"/>
      <c r="Y15" s="468"/>
      <c r="Z15" s="406"/>
      <c r="AA15" s="119"/>
      <c r="AB15" s="16"/>
      <c r="AC15" s="16"/>
      <c r="AD15" s="16"/>
      <c r="AE15" s="16"/>
    </row>
    <row r="16" spans="1:41" ht="3" customHeight="1" x14ac:dyDescent="0.25">
      <c r="A16" s="119"/>
      <c r="B16" s="407"/>
      <c r="C16" s="424"/>
      <c r="D16" s="87"/>
      <c r="E16" s="87"/>
      <c r="F16" s="87"/>
      <c r="G16" s="87"/>
      <c r="H16" s="87"/>
      <c r="I16" s="87"/>
      <c r="J16" s="87"/>
      <c r="K16" s="87"/>
      <c r="L16" s="425"/>
      <c r="M16" s="408"/>
      <c r="N16" s="105"/>
      <c r="O16" s="407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408"/>
      <c r="AA16" s="119"/>
      <c r="AB16" s="16"/>
      <c r="AC16" s="16"/>
      <c r="AD16" s="16"/>
      <c r="AE16" s="16"/>
    </row>
    <row r="17" spans="1:34" ht="15" x14ac:dyDescent="0.25">
      <c r="A17" s="119"/>
      <c r="B17" s="407"/>
      <c r="C17" s="422"/>
      <c r="D17" s="122" t="s">
        <v>125</v>
      </c>
      <c r="E17" s="461"/>
      <c r="F17" s="461"/>
      <c r="G17" s="155"/>
      <c r="H17" s="441" t="str">
        <f>IF(AND(E17=AF83,E9=AF65),"Mujer: Incremento de pensión por hijos",IF(AND(E17=AF83,E9=AF66),"Incremento de pensión por hijos",IF(AND(E17=AF83,E9=AF67),"Incremento de pensión por hijos","")))</f>
        <v/>
      </c>
      <c r="I17" s="441"/>
      <c r="J17" s="441"/>
      <c r="K17" s="441"/>
      <c r="L17" s="442"/>
      <c r="M17" s="408"/>
      <c r="N17" s="119"/>
      <c r="O17" s="407"/>
      <c r="P17" s="155"/>
      <c r="Q17" s="83"/>
      <c r="R17" s="163" t="s">
        <v>109</v>
      </c>
      <c r="S17" s="226" t="s">
        <v>25</v>
      </c>
      <c r="T17" s="83"/>
      <c r="U17" s="83"/>
      <c r="V17" s="83"/>
      <c r="W17" s="83"/>
      <c r="X17" s="83"/>
      <c r="Y17" s="83"/>
      <c r="Z17" s="408"/>
      <c r="AA17" s="119"/>
      <c r="AB17" s="16"/>
      <c r="AC17" s="16"/>
      <c r="AD17" s="16"/>
      <c r="AE17" s="16"/>
    </row>
    <row r="18" spans="1:34" ht="3" customHeight="1" x14ac:dyDescent="0.25">
      <c r="A18" s="119"/>
      <c r="B18" s="407"/>
      <c r="C18" s="424"/>
      <c r="D18" s="87"/>
      <c r="E18" s="87"/>
      <c r="F18" s="87"/>
      <c r="G18" s="87"/>
      <c r="H18" s="87"/>
      <c r="I18" s="87"/>
      <c r="J18" s="87"/>
      <c r="K18" s="87"/>
      <c r="L18" s="425"/>
      <c r="M18" s="408"/>
      <c r="N18" s="105"/>
      <c r="O18" s="407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408"/>
      <c r="AA18" s="119"/>
      <c r="AB18" s="16"/>
      <c r="AC18" s="16"/>
      <c r="AD18" s="16"/>
      <c r="AE18" s="16"/>
    </row>
    <row r="19" spans="1:34" ht="18" x14ac:dyDescent="0.25">
      <c r="A19" s="119"/>
      <c r="B19" s="407"/>
      <c r="C19" s="427"/>
      <c r="D19" s="472" t="s">
        <v>213</v>
      </c>
      <c r="E19" s="472"/>
      <c r="F19" s="428"/>
      <c r="G19" s="429"/>
      <c r="H19" s="429"/>
      <c r="I19" s="452" t="str">
        <f>IF(H17="Incremento de pensión por hijos","Introducir número de hijos","")</f>
        <v/>
      </c>
      <c r="J19" s="452"/>
      <c r="K19" s="452"/>
      <c r="L19" s="453"/>
      <c r="M19" s="408"/>
      <c r="N19" s="119"/>
      <c r="O19" s="407"/>
      <c r="P19" s="469" t="s">
        <v>129</v>
      </c>
      <c r="Q19" s="470"/>
      <c r="R19" s="470"/>
      <c r="S19" s="470"/>
      <c r="T19" s="470"/>
      <c r="U19" s="470"/>
      <c r="V19" s="470"/>
      <c r="W19" s="470"/>
      <c r="X19" s="470"/>
      <c r="Y19" s="471"/>
      <c r="Z19" s="408"/>
      <c r="AA19" s="119"/>
      <c r="AB19" s="16"/>
      <c r="AC19" s="16"/>
      <c r="AD19" s="16"/>
      <c r="AE19" s="16"/>
    </row>
    <row r="20" spans="1:34" ht="3" customHeight="1" x14ac:dyDescent="0.25">
      <c r="A20" s="119"/>
      <c r="B20" s="407"/>
      <c r="C20" s="87"/>
      <c r="D20" s="87"/>
      <c r="E20" s="87"/>
      <c r="F20" s="87"/>
      <c r="G20" s="87"/>
      <c r="H20" s="87"/>
      <c r="I20" s="87"/>
      <c r="J20" s="155"/>
      <c r="K20" s="155"/>
      <c r="L20" s="155"/>
      <c r="M20" s="408"/>
      <c r="N20" s="105"/>
      <c r="O20" s="407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408"/>
      <c r="AA20" s="119"/>
      <c r="AB20" s="16"/>
      <c r="AC20" s="16"/>
      <c r="AD20" s="16"/>
      <c r="AE20" s="16"/>
    </row>
    <row r="21" spans="1:34" ht="3" customHeight="1" x14ac:dyDescent="0.25">
      <c r="A21" s="119"/>
      <c r="B21" s="407"/>
      <c r="C21" s="87"/>
      <c r="D21" s="87"/>
      <c r="E21" s="87"/>
      <c r="F21" s="87"/>
      <c r="G21" s="87"/>
      <c r="H21" s="87"/>
      <c r="I21" s="87"/>
      <c r="J21" s="155"/>
      <c r="K21" s="155"/>
      <c r="L21" s="155"/>
      <c r="M21" s="408"/>
      <c r="N21" s="105"/>
      <c r="O21" s="407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408"/>
      <c r="AA21" s="119"/>
      <c r="AB21" s="16"/>
      <c r="AC21" s="16"/>
      <c r="AD21" s="16"/>
      <c r="AE21" s="16"/>
    </row>
    <row r="22" spans="1:34" ht="15" x14ac:dyDescent="0.25">
      <c r="A22" s="119"/>
      <c r="B22" s="407"/>
      <c r="C22" s="430"/>
      <c r="D22" s="464" t="s">
        <v>130</v>
      </c>
      <c r="E22" s="464"/>
      <c r="F22" s="464"/>
      <c r="G22" s="464"/>
      <c r="H22" s="431"/>
      <c r="I22" s="432"/>
      <c r="J22" s="432"/>
      <c r="K22" s="432"/>
      <c r="L22" s="433"/>
      <c r="M22" s="408"/>
      <c r="N22" s="119"/>
      <c r="O22" s="407"/>
      <c r="P22" s="83"/>
      <c r="Q22" s="458" t="s">
        <v>49</v>
      </c>
      <c r="R22" s="458"/>
      <c r="S22" s="458"/>
      <c r="T22" s="458"/>
      <c r="U22" s="458"/>
      <c r="V22" s="458"/>
      <c r="W22" s="458"/>
      <c r="X22" s="458"/>
      <c r="Y22" s="458"/>
      <c r="Z22" s="408"/>
      <c r="AA22" s="119"/>
      <c r="AB22" s="16"/>
      <c r="AC22" s="16"/>
      <c r="AD22" s="16"/>
      <c r="AE22" s="16"/>
      <c r="AF22" s="16"/>
      <c r="AG22" s="16"/>
      <c r="AH22" s="16"/>
    </row>
    <row r="23" spans="1:34" ht="3" customHeight="1" x14ac:dyDescent="0.25">
      <c r="A23" s="119"/>
      <c r="B23" s="407"/>
      <c r="C23" s="424"/>
      <c r="D23" s="87"/>
      <c r="E23" s="87"/>
      <c r="F23" s="87"/>
      <c r="G23" s="87"/>
      <c r="H23" s="87"/>
      <c r="I23" s="155"/>
      <c r="J23" s="155"/>
      <c r="K23" s="155"/>
      <c r="L23" s="423"/>
      <c r="M23" s="408"/>
      <c r="N23" s="105"/>
      <c r="O23" s="407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408"/>
      <c r="AA23" s="119"/>
      <c r="AB23" s="16"/>
      <c r="AC23" s="16"/>
      <c r="AD23" s="16"/>
      <c r="AE23" s="16"/>
      <c r="AF23" s="16"/>
      <c r="AG23" s="16"/>
      <c r="AH23" s="16"/>
    </row>
    <row r="24" spans="1:34" ht="12.95" customHeight="1" x14ac:dyDescent="0.25">
      <c r="A24" s="119"/>
      <c r="B24" s="407"/>
      <c r="C24" s="434"/>
      <c r="D24" s="313" t="s">
        <v>116</v>
      </c>
      <c r="E24" s="477">
        <v>44381</v>
      </c>
      <c r="F24" s="478"/>
      <c r="G24" s="83"/>
      <c r="H24" s="401"/>
      <c r="I24" s="155"/>
      <c r="J24" s="155"/>
      <c r="K24" s="155"/>
      <c r="L24" s="423"/>
      <c r="M24" s="408"/>
      <c r="N24" s="119"/>
      <c r="O24" s="407"/>
      <c r="P24" s="83"/>
      <c r="Q24" s="83"/>
      <c r="R24" s="82" t="s">
        <v>47</v>
      </c>
      <c r="S24" s="83"/>
      <c r="T24" s="83"/>
      <c r="U24" s="83"/>
      <c r="V24" s="83"/>
      <c r="W24" s="83"/>
      <c r="X24" s="83"/>
      <c r="Y24" s="400" t="s">
        <v>13</v>
      </c>
      <c r="Z24" s="408"/>
      <c r="AA24" s="119"/>
      <c r="AB24" s="16"/>
      <c r="AC24" s="16"/>
      <c r="AD24" s="16"/>
      <c r="AE24" s="16"/>
      <c r="AF24" s="16"/>
      <c r="AG24" s="16"/>
      <c r="AH24" s="16"/>
    </row>
    <row r="25" spans="1:34" ht="3" customHeight="1" x14ac:dyDescent="0.25">
      <c r="A25" s="119"/>
      <c r="B25" s="407"/>
      <c r="C25" s="435"/>
      <c r="D25" s="88"/>
      <c r="E25" s="88"/>
      <c r="F25" s="88"/>
      <c r="G25" s="88"/>
      <c r="H25" s="399"/>
      <c r="I25" s="155"/>
      <c r="J25" s="155"/>
      <c r="K25" s="155"/>
      <c r="L25" s="423"/>
      <c r="M25" s="408"/>
      <c r="N25" s="105"/>
      <c r="O25" s="407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408"/>
      <c r="AA25" s="119"/>
      <c r="AB25" s="16"/>
      <c r="AC25" s="16"/>
      <c r="AD25" s="16"/>
      <c r="AE25" s="16"/>
      <c r="AF25" s="16"/>
      <c r="AG25" s="16"/>
      <c r="AH25" s="16"/>
    </row>
    <row r="26" spans="1:34" ht="12.95" customHeight="1" x14ac:dyDescent="0.25">
      <c r="A26" s="119"/>
      <c r="B26" s="407"/>
      <c r="C26" s="434"/>
      <c r="D26" s="165"/>
      <c r="E26" s="166" t="s">
        <v>6</v>
      </c>
      <c r="F26" s="166" t="s">
        <v>7</v>
      </c>
      <c r="G26" s="166" t="s">
        <v>8</v>
      </c>
      <c r="H26" s="401"/>
      <c r="I26" s="155"/>
      <c r="J26" s="155"/>
      <c r="K26" s="155"/>
      <c r="L26" s="423"/>
      <c r="M26" s="408"/>
      <c r="N26" s="119"/>
      <c r="O26" s="407"/>
      <c r="P26" s="83"/>
      <c r="Q26" s="83"/>
      <c r="R26" s="82" t="s">
        <v>37</v>
      </c>
      <c r="S26" s="83"/>
      <c r="T26" s="83"/>
      <c r="U26" s="83"/>
      <c r="V26" s="83"/>
      <c r="W26" s="83"/>
      <c r="X26" s="83"/>
      <c r="Y26" s="400" t="s">
        <v>13</v>
      </c>
      <c r="Z26" s="408"/>
      <c r="AA26" s="119"/>
      <c r="AB26" s="16"/>
      <c r="AC26" s="44"/>
      <c r="AD26" s="16"/>
    </row>
    <row r="27" spans="1:34" ht="3" customHeight="1" x14ac:dyDescent="0.25">
      <c r="A27" s="119"/>
      <c r="B27" s="407"/>
      <c r="C27" s="435"/>
      <c r="D27" s="88"/>
      <c r="E27" s="88"/>
      <c r="F27" s="88"/>
      <c r="G27" s="88"/>
      <c r="H27" s="399"/>
      <c r="I27" s="155"/>
      <c r="J27" s="155"/>
      <c r="K27" s="155"/>
      <c r="L27" s="423"/>
      <c r="M27" s="408"/>
      <c r="N27" s="105"/>
      <c r="O27" s="407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408"/>
      <c r="AA27" s="119"/>
      <c r="AB27" s="16"/>
      <c r="AC27" s="16"/>
      <c r="AD27" s="16"/>
      <c r="AE27" s="16"/>
      <c r="AF27" s="16"/>
      <c r="AG27" s="16"/>
      <c r="AH27" s="16"/>
    </row>
    <row r="28" spans="1:34" ht="15" customHeight="1" x14ac:dyDescent="0.25">
      <c r="A28" s="119"/>
      <c r="B28" s="407"/>
      <c r="C28" s="434"/>
      <c r="D28" s="164" t="s">
        <v>115</v>
      </c>
      <c r="E28" s="46"/>
      <c r="F28" s="46"/>
      <c r="G28" s="46"/>
      <c r="H28" s="401"/>
      <c r="I28" s="443" t="s">
        <v>326</v>
      </c>
      <c r="J28" s="444"/>
      <c r="K28" s="444"/>
      <c r="L28" s="445"/>
      <c r="M28" s="408"/>
      <c r="N28" s="119"/>
      <c r="O28" s="407"/>
      <c r="P28" s="83"/>
      <c r="Q28" s="458" t="s">
        <v>64</v>
      </c>
      <c r="R28" s="458"/>
      <c r="S28" s="458"/>
      <c r="T28" s="458"/>
      <c r="U28" s="458"/>
      <c r="V28" s="458"/>
      <c r="W28" s="458"/>
      <c r="X28" s="458"/>
      <c r="Y28" s="458"/>
      <c r="Z28" s="408"/>
      <c r="AA28" s="119"/>
      <c r="AB28" s="16"/>
      <c r="AC28" s="16"/>
      <c r="AD28" s="16"/>
      <c r="AE28" s="167"/>
      <c r="AF28" s="167"/>
      <c r="AG28" s="167"/>
      <c r="AH28" s="167"/>
    </row>
    <row r="29" spans="1:34" ht="3" customHeight="1" x14ac:dyDescent="0.25">
      <c r="A29" s="119"/>
      <c r="B29" s="407"/>
      <c r="C29" s="435"/>
      <c r="D29" s="88"/>
      <c r="E29" s="88"/>
      <c r="F29" s="88"/>
      <c r="G29" s="88"/>
      <c r="H29" s="399"/>
      <c r="I29" s="446"/>
      <c r="J29" s="447"/>
      <c r="K29" s="447"/>
      <c r="L29" s="448"/>
      <c r="M29" s="408"/>
      <c r="N29" s="105"/>
      <c r="O29" s="407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408"/>
      <c r="AA29" s="119"/>
      <c r="AB29" s="16"/>
      <c r="AC29" s="16"/>
      <c r="AD29" s="16"/>
      <c r="AE29" s="16"/>
      <c r="AF29" s="16"/>
      <c r="AG29" s="16"/>
      <c r="AH29" s="16"/>
    </row>
    <row r="30" spans="1:34" ht="12.95" customHeight="1" x14ac:dyDescent="0.25">
      <c r="A30" s="119"/>
      <c r="B30" s="407"/>
      <c r="C30" s="434"/>
      <c r="D30" s="164" t="s">
        <v>110</v>
      </c>
      <c r="E30" s="46">
        <v>28</v>
      </c>
      <c r="F30" s="46">
        <v>11</v>
      </c>
      <c r="G30" s="46">
        <v>5</v>
      </c>
      <c r="H30" s="401"/>
      <c r="I30" s="446"/>
      <c r="J30" s="447"/>
      <c r="K30" s="447"/>
      <c r="L30" s="448"/>
      <c r="M30" s="408"/>
      <c r="N30" s="119"/>
      <c r="O30" s="407"/>
      <c r="P30" s="83"/>
      <c r="Q30" s="83"/>
      <c r="R30" s="82" t="s">
        <v>38</v>
      </c>
      <c r="S30" s="83"/>
      <c r="T30" s="83"/>
      <c r="U30" s="83"/>
      <c r="V30" s="83"/>
      <c r="W30" s="83"/>
      <c r="X30" s="83"/>
      <c r="Y30" s="400" t="s">
        <v>13</v>
      </c>
      <c r="Z30" s="408"/>
      <c r="AA30" s="119"/>
      <c r="AB30" s="16"/>
      <c r="AC30" s="16"/>
      <c r="AD30" s="16"/>
      <c r="AE30" s="167"/>
      <c r="AF30" s="167"/>
      <c r="AG30" s="167"/>
      <c r="AH30" s="167"/>
    </row>
    <row r="31" spans="1:34" ht="3" customHeight="1" x14ac:dyDescent="0.25">
      <c r="A31" s="119"/>
      <c r="B31" s="407"/>
      <c r="C31" s="435"/>
      <c r="D31" s="88"/>
      <c r="E31" s="88"/>
      <c r="F31" s="88"/>
      <c r="G31" s="88"/>
      <c r="H31" s="399"/>
      <c r="I31" s="446"/>
      <c r="J31" s="447"/>
      <c r="K31" s="447"/>
      <c r="L31" s="448"/>
      <c r="M31" s="408"/>
      <c r="N31" s="105"/>
      <c r="O31" s="407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408"/>
      <c r="AA31" s="119"/>
      <c r="AB31" s="16"/>
      <c r="AC31" s="16"/>
      <c r="AD31" s="16"/>
      <c r="AE31" s="16"/>
      <c r="AF31" s="16"/>
      <c r="AG31" s="16"/>
      <c r="AH31" s="16"/>
    </row>
    <row r="32" spans="1:34" ht="12.95" customHeight="1" x14ac:dyDescent="0.25">
      <c r="A32" s="119"/>
      <c r="B32" s="407"/>
      <c r="C32" s="434"/>
      <c r="D32" s="164" t="s">
        <v>114</v>
      </c>
      <c r="E32" s="46"/>
      <c r="F32" s="46"/>
      <c r="G32" s="46"/>
      <c r="H32" s="401"/>
      <c r="I32" s="446"/>
      <c r="J32" s="447"/>
      <c r="K32" s="447"/>
      <c r="L32" s="448"/>
      <c r="M32" s="408"/>
      <c r="N32" s="119"/>
      <c r="O32" s="407"/>
      <c r="P32" s="83"/>
      <c r="Q32" s="83"/>
      <c r="R32" s="82" t="s">
        <v>123</v>
      </c>
      <c r="S32" s="83"/>
      <c r="T32" s="83"/>
      <c r="U32" s="83"/>
      <c r="V32" s="83"/>
      <c r="W32" s="83"/>
      <c r="X32" s="83"/>
      <c r="Y32" s="400">
        <v>0</v>
      </c>
      <c r="Z32" s="408"/>
      <c r="AA32" s="119"/>
      <c r="AB32" s="16"/>
      <c r="AC32" s="16"/>
      <c r="AD32" s="16"/>
      <c r="AE32" s="16"/>
      <c r="AF32" s="16"/>
      <c r="AG32" s="16"/>
      <c r="AH32" s="16"/>
    </row>
    <row r="33" spans="1:34" ht="3" customHeight="1" x14ac:dyDescent="0.25">
      <c r="A33" s="119"/>
      <c r="B33" s="407"/>
      <c r="C33" s="435"/>
      <c r="D33" s="88"/>
      <c r="E33" s="88"/>
      <c r="F33" s="88"/>
      <c r="G33" s="88"/>
      <c r="H33" s="399"/>
      <c r="I33" s="446"/>
      <c r="J33" s="447"/>
      <c r="K33" s="447"/>
      <c r="L33" s="448"/>
      <c r="M33" s="408"/>
      <c r="N33" s="105"/>
      <c r="O33" s="407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408"/>
      <c r="AA33" s="119"/>
      <c r="AB33" s="16"/>
      <c r="AC33" s="16"/>
      <c r="AD33" s="16"/>
      <c r="AE33" s="16"/>
      <c r="AF33" s="16"/>
      <c r="AG33" s="16"/>
      <c r="AH33" s="16"/>
    </row>
    <row r="34" spans="1:34" ht="12.95" customHeight="1" x14ac:dyDescent="0.25">
      <c r="A34" s="119"/>
      <c r="B34" s="407"/>
      <c r="C34" s="434"/>
      <c r="D34" s="164" t="s">
        <v>111</v>
      </c>
      <c r="E34" s="46"/>
      <c r="F34" s="46"/>
      <c r="G34" s="46"/>
      <c r="H34" s="401"/>
      <c r="I34" s="446"/>
      <c r="J34" s="447"/>
      <c r="K34" s="447"/>
      <c r="L34" s="448"/>
      <c r="M34" s="408"/>
      <c r="N34" s="119"/>
      <c r="O34" s="407"/>
      <c r="P34" s="83"/>
      <c r="Q34" s="83"/>
      <c r="R34" s="82" t="s">
        <v>40</v>
      </c>
      <c r="S34" s="83"/>
      <c r="T34" s="83"/>
      <c r="U34" s="83"/>
      <c r="V34" s="83"/>
      <c r="W34" s="83"/>
      <c r="X34" s="83"/>
      <c r="Y34" s="400">
        <v>0</v>
      </c>
      <c r="Z34" s="408"/>
      <c r="AA34" s="119"/>
      <c r="AB34" s="16"/>
      <c r="AC34" s="16"/>
      <c r="AD34" s="16"/>
      <c r="AE34" s="16"/>
      <c r="AF34" s="16"/>
      <c r="AG34" s="16"/>
      <c r="AH34" s="16"/>
    </row>
    <row r="35" spans="1:34" ht="3" customHeight="1" x14ac:dyDescent="0.25">
      <c r="A35" s="119"/>
      <c r="B35" s="407"/>
      <c r="C35" s="435"/>
      <c r="D35" s="88"/>
      <c r="E35" s="88"/>
      <c r="F35" s="88"/>
      <c r="G35" s="88"/>
      <c r="H35" s="399"/>
      <c r="I35" s="446"/>
      <c r="J35" s="447"/>
      <c r="K35" s="447"/>
      <c r="L35" s="448"/>
      <c r="M35" s="408"/>
      <c r="N35" s="105"/>
      <c r="O35" s="407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408"/>
      <c r="AA35" s="119"/>
      <c r="AB35" s="16"/>
      <c r="AC35" s="16"/>
      <c r="AD35" s="16"/>
      <c r="AE35" s="16"/>
      <c r="AF35" s="16"/>
      <c r="AG35" s="16"/>
      <c r="AH35" s="16"/>
    </row>
    <row r="36" spans="1:34" ht="12.95" customHeight="1" x14ac:dyDescent="0.25">
      <c r="A36" s="119"/>
      <c r="B36" s="407"/>
      <c r="C36" s="434"/>
      <c r="D36" s="164" t="s">
        <v>112</v>
      </c>
      <c r="E36" s="46"/>
      <c r="F36" s="46"/>
      <c r="G36" s="46"/>
      <c r="H36" s="401"/>
      <c r="I36" s="449"/>
      <c r="J36" s="450"/>
      <c r="K36" s="450"/>
      <c r="L36" s="451"/>
      <c r="M36" s="408"/>
      <c r="N36" s="119"/>
      <c r="O36" s="407"/>
      <c r="P36" s="83"/>
      <c r="Q36" s="83"/>
      <c r="R36" s="457" t="s">
        <v>41</v>
      </c>
      <c r="S36" s="457"/>
      <c r="T36" s="457"/>
      <c r="U36" s="457"/>
      <c r="V36" s="457"/>
      <c r="W36" s="457"/>
      <c r="X36" s="457"/>
      <c r="Y36" s="400">
        <v>0</v>
      </c>
      <c r="Z36" s="408"/>
      <c r="AA36" s="119"/>
      <c r="AB36" s="16"/>
      <c r="AC36" s="16"/>
      <c r="AD36" s="16"/>
      <c r="AE36" s="16"/>
      <c r="AF36" s="16"/>
      <c r="AG36" s="16"/>
      <c r="AH36" s="16"/>
    </row>
    <row r="37" spans="1:34" ht="3" customHeight="1" x14ac:dyDescent="0.25">
      <c r="A37" s="119"/>
      <c r="B37" s="407"/>
      <c r="C37" s="435"/>
      <c r="D37" s="88"/>
      <c r="E37" s="88"/>
      <c r="F37" s="88"/>
      <c r="G37" s="88"/>
      <c r="H37" s="399"/>
      <c r="I37" s="155"/>
      <c r="J37" s="155"/>
      <c r="K37" s="155"/>
      <c r="L37" s="423"/>
      <c r="M37" s="408"/>
      <c r="N37" s="105"/>
      <c r="O37" s="407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408"/>
      <c r="AA37" s="119"/>
      <c r="AB37" s="16"/>
      <c r="AC37" s="16"/>
      <c r="AD37" s="16"/>
      <c r="AE37" s="16"/>
      <c r="AF37" s="16"/>
      <c r="AG37" s="16"/>
      <c r="AH37" s="16"/>
    </row>
    <row r="38" spans="1:34" ht="12.95" customHeight="1" x14ac:dyDescent="0.25">
      <c r="A38" s="119"/>
      <c r="B38" s="407"/>
      <c r="C38" s="434"/>
      <c r="D38" s="164" t="s">
        <v>113</v>
      </c>
      <c r="E38" s="46"/>
      <c r="F38" s="46"/>
      <c r="G38" s="46"/>
      <c r="H38" s="401"/>
      <c r="I38" s="155"/>
      <c r="J38" s="155"/>
      <c r="K38" s="155"/>
      <c r="L38" s="423"/>
      <c r="M38" s="408"/>
      <c r="N38" s="119"/>
      <c r="O38" s="407"/>
      <c r="P38" s="83"/>
      <c r="Q38" s="83"/>
      <c r="R38" s="457" t="s">
        <v>42</v>
      </c>
      <c r="S38" s="457"/>
      <c r="T38" s="457"/>
      <c r="U38" s="457"/>
      <c r="V38" s="457"/>
      <c r="W38" s="457"/>
      <c r="X38" s="457"/>
      <c r="Y38" s="400">
        <v>0</v>
      </c>
      <c r="Z38" s="408"/>
      <c r="AA38" s="119"/>
      <c r="AB38" s="16"/>
      <c r="AC38" s="16"/>
      <c r="AD38" s="16"/>
      <c r="AE38" s="16"/>
      <c r="AF38" s="16"/>
      <c r="AG38" s="16"/>
      <c r="AH38" s="16"/>
    </row>
    <row r="39" spans="1:34" ht="4.5" customHeight="1" x14ac:dyDescent="0.25">
      <c r="A39" s="119"/>
      <c r="B39" s="407"/>
      <c r="C39" s="436"/>
      <c r="D39" s="437"/>
      <c r="E39" s="437"/>
      <c r="F39" s="437"/>
      <c r="G39" s="437"/>
      <c r="H39" s="437"/>
      <c r="I39" s="429"/>
      <c r="J39" s="429"/>
      <c r="K39" s="429"/>
      <c r="L39" s="438"/>
      <c r="M39" s="408"/>
      <c r="N39" s="105"/>
      <c r="O39" s="407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408"/>
      <c r="AA39" s="119"/>
      <c r="AB39" s="16"/>
      <c r="AC39" s="16"/>
      <c r="AD39" s="16"/>
      <c r="AE39" s="16"/>
      <c r="AF39" s="16"/>
      <c r="AG39" s="16"/>
      <c r="AH39" s="16"/>
    </row>
    <row r="40" spans="1:34" ht="3" customHeight="1" x14ac:dyDescent="0.25">
      <c r="A40" s="119"/>
      <c r="B40" s="407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408"/>
      <c r="N40" s="105"/>
      <c r="O40" s="407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408"/>
      <c r="AA40" s="119"/>
      <c r="AB40" s="16"/>
      <c r="AC40" s="16"/>
      <c r="AD40" s="16"/>
      <c r="AE40" s="16"/>
      <c r="AF40" s="16"/>
      <c r="AG40" s="16"/>
      <c r="AH40" s="16"/>
    </row>
    <row r="41" spans="1:34" ht="15" x14ac:dyDescent="0.25">
      <c r="A41" s="119"/>
      <c r="B41" s="407"/>
      <c r="C41" s="430"/>
      <c r="D41" s="464" t="s">
        <v>131</v>
      </c>
      <c r="E41" s="464"/>
      <c r="F41" s="464"/>
      <c r="G41" s="464"/>
      <c r="H41" s="464"/>
      <c r="I41" s="464"/>
      <c r="J41" s="479" t="s">
        <v>195</v>
      </c>
      <c r="K41" s="479"/>
      <c r="L41" s="480"/>
      <c r="M41" s="408"/>
      <c r="N41" s="119"/>
      <c r="O41" s="407"/>
      <c r="P41" s="83"/>
      <c r="Q41" s="458" t="s">
        <v>65</v>
      </c>
      <c r="R41" s="458"/>
      <c r="S41" s="458"/>
      <c r="T41" s="458"/>
      <c r="U41" s="458"/>
      <c r="V41" s="458"/>
      <c r="W41" s="458"/>
      <c r="X41" s="458"/>
      <c r="Y41" s="458"/>
      <c r="Z41" s="408"/>
      <c r="AA41" s="119"/>
      <c r="AB41" s="16"/>
      <c r="AC41" s="16"/>
      <c r="AD41" s="16"/>
      <c r="AE41" s="16"/>
      <c r="AF41" s="16"/>
      <c r="AG41" s="16"/>
      <c r="AH41" s="16"/>
    </row>
    <row r="42" spans="1:34" ht="3" customHeight="1" x14ac:dyDescent="0.25">
      <c r="A42" s="119"/>
      <c r="B42" s="407"/>
      <c r="C42" s="435"/>
      <c r="D42" s="88"/>
      <c r="E42" s="88"/>
      <c r="F42" s="88"/>
      <c r="G42" s="88"/>
      <c r="H42" s="88"/>
      <c r="I42" s="88"/>
      <c r="J42" s="88"/>
      <c r="K42" s="88"/>
      <c r="L42" s="423"/>
      <c r="M42" s="408"/>
      <c r="N42" s="105"/>
      <c r="O42" s="407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408"/>
      <c r="AA42" s="119"/>
      <c r="AB42" s="16"/>
      <c r="AC42" s="16"/>
      <c r="AD42" s="16"/>
      <c r="AE42" s="16"/>
      <c r="AF42" s="16"/>
      <c r="AG42" s="16"/>
      <c r="AH42" s="16"/>
    </row>
    <row r="43" spans="1:34" ht="17.25" customHeight="1" x14ac:dyDescent="0.25">
      <c r="A43" s="119"/>
      <c r="B43" s="407"/>
      <c r="C43" s="434"/>
      <c r="D43" s="476" t="s">
        <v>117</v>
      </c>
      <c r="E43" s="476"/>
      <c r="F43" s="476"/>
      <c r="G43" s="476"/>
      <c r="H43" s="476"/>
      <c r="I43" s="476"/>
      <c r="J43" s="402" t="s">
        <v>8</v>
      </c>
      <c r="K43" s="83"/>
      <c r="L43" s="423"/>
      <c r="M43" s="408"/>
      <c r="N43" s="119"/>
      <c r="O43" s="407"/>
      <c r="P43" s="83"/>
      <c r="Q43" s="83"/>
      <c r="R43" s="83" t="s">
        <v>67</v>
      </c>
      <c r="S43" s="83"/>
      <c r="T43" s="83"/>
      <c r="U43" s="83"/>
      <c r="V43" s="83"/>
      <c r="W43" s="83"/>
      <c r="X43" s="83"/>
      <c r="Y43" s="400">
        <v>1</v>
      </c>
      <c r="Z43" s="408"/>
      <c r="AA43" s="119"/>
      <c r="AB43" s="16"/>
      <c r="AC43" s="16"/>
      <c r="AD43" s="16"/>
      <c r="AE43" s="16"/>
      <c r="AF43" s="16"/>
      <c r="AG43" s="16"/>
      <c r="AH43" s="16"/>
    </row>
    <row r="44" spans="1:34" ht="3" customHeight="1" x14ac:dyDescent="0.2">
      <c r="A44" s="119"/>
      <c r="B44" s="407"/>
      <c r="C44" s="434"/>
      <c r="D44" s="83"/>
      <c r="E44" s="83"/>
      <c r="F44" s="83"/>
      <c r="G44" s="83"/>
      <c r="H44" s="83"/>
      <c r="I44" s="83"/>
      <c r="J44" s="83"/>
      <c r="K44" s="83"/>
      <c r="L44" s="423"/>
      <c r="M44" s="408"/>
      <c r="N44" s="119"/>
      <c r="O44" s="407"/>
      <c r="P44" s="83"/>
      <c r="Q44" s="83"/>
      <c r="R44" s="83"/>
      <c r="S44" s="83"/>
      <c r="T44" s="83"/>
      <c r="U44" s="83"/>
      <c r="V44" s="83"/>
      <c r="W44" s="83"/>
      <c r="X44" s="83"/>
      <c r="Y44" s="168"/>
      <c r="Z44" s="408"/>
      <c r="AA44" s="119"/>
      <c r="AB44" s="16"/>
      <c r="AC44" s="16"/>
      <c r="AD44" s="16"/>
      <c r="AE44" s="16"/>
      <c r="AF44" s="16"/>
      <c r="AG44" s="16"/>
      <c r="AH44" s="16"/>
    </row>
    <row r="45" spans="1:34" ht="15.75" customHeight="1" x14ac:dyDescent="0.25">
      <c r="A45" s="119"/>
      <c r="B45" s="407"/>
      <c r="C45" s="434"/>
      <c r="D45" s="473" t="s">
        <v>118</v>
      </c>
      <c r="E45" s="473"/>
      <c r="F45" s="473"/>
      <c r="G45" s="473"/>
      <c r="H45" s="473"/>
      <c r="I45" s="473"/>
      <c r="J45" s="46"/>
      <c r="K45" s="83"/>
      <c r="L45" s="474" t="s">
        <v>127</v>
      </c>
      <c r="M45" s="408"/>
      <c r="N45" s="119"/>
      <c r="O45" s="407"/>
      <c r="P45" s="83"/>
      <c r="Q45" s="83"/>
      <c r="R45" s="82" t="s">
        <v>43</v>
      </c>
      <c r="S45" s="83"/>
      <c r="T45" s="83"/>
      <c r="U45" s="83"/>
      <c r="V45" s="83"/>
      <c r="W45" s="83"/>
      <c r="X45" s="83"/>
      <c r="Y45" s="400">
        <v>0</v>
      </c>
      <c r="Z45" s="408"/>
      <c r="AA45" s="119"/>
      <c r="AB45" s="16"/>
      <c r="AC45" s="16"/>
      <c r="AD45" s="16"/>
      <c r="AE45" s="16"/>
      <c r="AF45" s="16"/>
      <c r="AG45" s="16"/>
      <c r="AH45" s="16"/>
    </row>
    <row r="46" spans="1:34" ht="3" customHeight="1" x14ac:dyDescent="0.2">
      <c r="A46" s="119"/>
      <c r="B46" s="407"/>
      <c r="C46" s="434"/>
      <c r="D46" s="169"/>
      <c r="E46" s="169"/>
      <c r="F46" s="169"/>
      <c r="G46" s="169"/>
      <c r="H46" s="169"/>
      <c r="I46" s="169"/>
      <c r="J46" s="168"/>
      <c r="K46" s="83"/>
      <c r="L46" s="474"/>
      <c r="M46" s="408"/>
      <c r="N46" s="119"/>
      <c r="O46" s="407"/>
      <c r="P46" s="83"/>
      <c r="Q46" s="83"/>
      <c r="R46" s="82"/>
      <c r="S46" s="83"/>
      <c r="T46" s="83"/>
      <c r="U46" s="83"/>
      <c r="V46" s="83"/>
      <c r="W46" s="83"/>
      <c r="X46" s="83"/>
      <c r="Y46" s="168"/>
      <c r="Z46" s="408"/>
      <c r="AA46" s="119"/>
      <c r="AB46" s="16"/>
      <c r="AC46" s="16"/>
      <c r="AD46" s="16"/>
      <c r="AE46" s="16"/>
      <c r="AF46" s="16"/>
      <c r="AG46" s="16"/>
      <c r="AH46" s="16"/>
    </row>
    <row r="47" spans="1:34" ht="15" x14ac:dyDescent="0.25">
      <c r="A47" s="119"/>
      <c r="B47" s="407"/>
      <c r="C47" s="434"/>
      <c r="D47" s="473" t="s">
        <v>121</v>
      </c>
      <c r="E47" s="473"/>
      <c r="F47" s="473"/>
      <c r="G47" s="473"/>
      <c r="H47" s="473"/>
      <c r="I47" s="473"/>
      <c r="J47" s="46"/>
      <c r="K47" s="83"/>
      <c r="L47" s="474"/>
      <c r="M47" s="408"/>
      <c r="N47" s="119"/>
      <c r="O47" s="407"/>
      <c r="P47" s="83"/>
      <c r="Q47" s="83"/>
      <c r="R47" s="82" t="s">
        <v>44</v>
      </c>
      <c r="S47" s="83"/>
      <c r="T47" s="83"/>
      <c r="U47" s="83"/>
      <c r="V47" s="83"/>
      <c r="W47" s="83"/>
      <c r="X47" s="83"/>
      <c r="Y47" s="400">
        <v>0</v>
      </c>
      <c r="Z47" s="408"/>
      <c r="AA47" s="119"/>
      <c r="AB47" s="16"/>
      <c r="AC47" s="16"/>
      <c r="AD47" s="16"/>
      <c r="AE47" s="16"/>
      <c r="AF47" s="16"/>
      <c r="AG47" s="16"/>
      <c r="AH47" s="16"/>
    </row>
    <row r="48" spans="1:34" ht="3" customHeight="1" x14ac:dyDescent="0.2">
      <c r="A48" s="119"/>
      <c r="B48" s="407"/>
      <c r="C48" s="434"/>
      <c r="D48" s="169"/>
      <c r="E48" s="169"/>
      <c r="F48" s="169"/>
      <c r="G48" s="169"/>
      <c r="H48" s="169"/>
      <c r="I48" s="169"/>
      <c r="J48" s="168"/>
      <c r="K48" s="83"/>
      <c r="L48" s="474"/>
      <c r="M48" s="408"/>
      <c r="N48" s="119"/>
      <c r="O48" s="407"/>
      <c r="P48" s="83"/>
      <c r="Q48" s="83"/>
      <c r="R48" s="83"/>
      <c r="S48" s="83"/>
      <c r="T48" s="83"/>
      <c r="U48" s="83"/>
      <c r="V48" s="83"/>
      <c r="W48" s="83"/>
      <c r="X48" s="83"/>
      <c r="Y48" s="168"/>
      <c r="Z48" s="408"/>
      <c r="AA48" s="119"/>
      <c r="AB48" s="16"/>
      <c r="AC48" s="16"/>
      <c r="AD48" s="16"/>
      <c r="AE48" s="16"/>
      <c r="AF48" s="16"/>
      <c r="AG48" s="16"/>
      <c r="AH48" s="16"/>
    </row>
    <row r="49" spans="1:40" ht="15" x14ac:dyDescent="0.25">
      <c r="A49" s="119"/>
      <c r="B49" s="407"/>
      <c r="C49" s="434"/>
      <c r="D49" s="473" t="s">
        <v>119</v>
      </c>
      <c r="E49" s="473"/>
      <c r="F49" s="473"/>
      <c r="G49" s="473"/>
      <c r="H49" s="473"/>
      <c r="I49" s="473"/>
      <c r="J49" s="46">
        <f>360*4</f>
        <v>1440</v>
      </c>
      <c r="K49" s="83"/>
      <c r="L49" s="474"/>
      <c r="M49" s="408"/>
      <c r="N49" s="119"/>
      <c r="O49" s="407"/>
      <c r="P49" s="83"/>
      <c r="Q49" s="83"/>
      <c r="R49" s="457" t="s">
        <v>45</v>
      </c>
      <c r="S49" s="457"/>
      <c r="T49" s="457"/>
      <c r="U49" s="457"/>
      <c r="V49" s="457"/>
      <c r="W49" s="457"/>
      <c r="X49" s="457"/>
      <c r="Y49" s="400">
        <v>0</v>
      </c>
      <c r="Z49" s="408"/>
      <c r="AA49" s="119"/>
      <c r="AB49" s="16"/>
      <c r="AD49" s="16"/>
      <c r="AE49" s="16"/>
      <c r="AF49" s="16"/>
      <c r="AG49" s="16"/>
      <c r="AH49" s="16"/>
    </row>
    <row r="50" spans="1:40" ht="3" customHeight="1" x14ac:dyDescent="0.2">
      <c r="A50" s="119"/>
      <c r="B50" s="407"/>
      <c r="C50" s="434"/>
      <c r="D50" s="169"/>
      <c r="E50" s="169"/>
      <c r="F50" s="169"/>
      <c r="G50" s="169"/>
      <c r="H50" s="169"/>
      <c r="I50" s="169"/>
      <c r="J50" s="168"/>
      <c r="K50" s="83"/>
      <c r="L50" s="474"/>
      <c r="M50" s="408"/>
      <c r="N50" s="119"/>
      <c r="O50" s="407"/>
      <c r="P50" s="83"/>
      <c r="Q50" s="83"/>
      <c r="R50" s="169"/>
      <c r="S50" s="169"/>
      <c r="T50" s="169"/>
      <c r="U50" s="169"/>
      <c r="V50" s="169"/>
      <c r="W50" s="169"/>
      <c r="X50" s="169"/>
      <c r="Y50" s="168"/>
      <c r="Z50" s="408"/>
      <c r="AA50" s="119"/>
      <c r="AB50" s="16"/>
      <c r="AC50" s="16"/>
      <c r="AD50" s="16"/>
      <c r="AE50" s="16"/>
      <c r="AF50" s="16"/>
      <c r="AG50" s="16"/>
      <c r="AH50" s="16"/>
    </row>
    <row r="51" spans="1:40" ht="15.75" thickBot="1" x14ac:dyDescent="0.3">
      <c r="A51" s="119"/>
      <c r="B51" s="407"/>
      <c r="C51" s="434"/>
      <c r="D51" s="473" t="s">
        <v>122</v>
      </c>
      <c r="E51" s="473"/>
      <c r="F51" s="473"/>
      <c r="G51" s="473"/>
      <c r="H51" s="473"/>
      <c r="I51" s="473"/>
      <c r="J51" s="46"/>
      <c r="K51" s="83"/>
      <c r="L51" s="474"/>
      <c r="M51" s="408"/>
      <c r="N51" s="119"/>
      <c r="O51" s="409"/>
      <c r="P51" s="410"/>
      <c r="Q51" s="410"/>
      <c r="R51" s="456" t="s">
        <v>46</v>
      </c>
      <c r="S51" s="456"/>
      <c r="T51" s="456"/>
      <c r="U51" s="456"/>
      <c r="V51" s="456"/>
      <c r="W51" s="456"/>
      <c r="X51" s="456"/>
      <c r="Y51" s="411">
        <v>0</v>
      </c>
      <c r="Z51" s="412"/>
      <c r="AA51" s="119"/>
      <c r="AB51" s="16"/>
      <c r="AD51" s="16"/>
      <c r="AE51" s="16"/>
      <c r="AF51" s="16"/>
      <c r="AG51" s="16"/>
      <c r="AH51" s="16"/>
    </row>
    <row r="52" spans="1:40" ht="3" customHeight="1" x14ac:dyDescent="0.2">
      <c r="A52" s="119"/>
      <c r="B52" s="407"/>
      <c r="C52" s="434"/>
      <c r="D52" s="169"/>
      <c r="E52" s="169"/>
      <c r="F52" s="169"/>
      <c r="G52" s="169"/>
      <c r="H52" s="169"/>
      <c r="I52" s="169"/>
      <c r="J52" s="168"/>
      <c r="K52" s="83"/>
      <c r="L52" s="474"/>
      <c r="M52" s="408"/>
      <c r="N52" s="119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19"/>
      <c r="AB52" s="16"/>
      <c r="AC52" s="16"/>
      <c r="AD52" s="16"/>
      <c r="AE52" s="16"/>
      <c r="AF52" s="16"/>
      <c r="AG52" s="16"/>
      <c r="AH52" s="16"/>
    </row>
    <row r="53" spans="1:40" ht="15" x14ac:dyDescent="0.25">
      <c r="A53" s="119"/>
      <c r="B53" s="407"/>
      <c r="C53" s="434"/>
      <c r="D53" s="473" t="s">
        <v>120</v>
      </c>
      <c r="E53" s="473"/>
      <c r="F53" s="473"/>
      <c r="G53" s="473"/>
      <c r="H53" s="473"/>
      <c r="I53" s="473"/>
      <c r="J53" s="46"/>
      <c r="K53" s="83"/>
      <c r="L53" s="474"/>
      <c r="M53" s="408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6"/>
      <c r="AC53" s="16"/>
      <c r="AD53" s="16"/>
      <c r="AE53" s="16"/>
      <c r="AF53" s="16"/>
      <c r="AG53" s="16"/>
      <c r="AH53" s="16"/>
    </row>
    <row r="54" spans="1:40" ht="3" customHeight="1" x14ac:dyDescent="0.2">
      <c r="A54" s="119"/>
      <c r="B54" s="407"/>
      <c r="C54" s="436"/>
      <c r="D54" s="437"/>
      <c r="E54" s="437"/>
      <c r="F54" s="437"/>
      <c r="G54" s="437"/>
      <c r="H54" s="437"/>
      <c r="I54" s="437"/>
      <c r="J54" s="437"/>
      <c r="K54" s="437"/>
      <c r="L54" s="475"/>
      <c r="M54" s="408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6"/>
      <c r="AC54" s="16"/>
      <c r="AD54" s="16"/>
      <c r="AE54" s="16"/>
    </row>
    <row r="55" spans="1:40" ht="7.5" customHeight="1" thickBot="1" x14ac:dyDescent="0.25">
      <c r="A55" s="119"/>
      <c r="B55" s="409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2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6"/>
      <c r="AC55" s="16"/>
      <c r="AD55" s="16"/>
      <c r="AE55" s="16"/>
    </row>
    <row r="56" spans="1:40" ht="6.75" customHeight="1" x14ac:dyDescent="0.2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6"/>
      <c r="AC56" s="16"/>
      <c r="AD56" s="16"/>
      <c r="AE56" s="16"/>
    </row>
    <row r="57" spans="1:40" ht="12.9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70"/>
      <c r="Y57" s="16"/>
      <c r="Z57" s="16"/>
      <c r="AA57" s="16"/>
      <c r="AB57" s="16"/>
      <c r="AC57" s="16"/>
      <c r="AD57" s="16"/>
      <c r="AE57" s="16"/>
      <c r="AF57" s="171" t="s">
        <v>132</v>
      </c>
      <c r="AG57" s="172"/>
      <c r="AH57" s="172"/>
      <c r="AI57" s="465">
        <f>+E13+23741</f>
        <v>46051</v>
      </c>
      <c r="AJ57" s="465"/>
    </row>
    <row r="58" spans="1:40" ht="12.9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40" ht="12.9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71" t="s">
        <v>105</v>
      </c>
      <c r="AG59" s="172"/>
      <c r="AH59" s="172"/>
      <c r="AI59" s="172"/>
      <c r="AJ59" s="173" t="str">
        <f>CONCATENATE(ROUNDDOWN((+E15-E13)/365.25,0)," años ",ROUNDDOWN(((((+E15-E13)/365.25)-(ROUNDDOWN((+E15-E13)/365.25,0)))*12),0)," meses ",ROUNDUP((((((+E15-E13)/365.25)-(ROUNDDOWN((+E15-E13)/365.25,0)))*12)-(ROUNDDOWN(((((+E15-E13)/365.25)-(ROUNDDOWN((+E15-E13)/365.25,0)))*12),0)))*30.4375,0)," días.")</f>
        <v>60 años 8 meses 21 días.</v>
      </c>
      <c r="AM59" s="14"/>
      <c r="AN59" s="14"/>
    </row>
    <row r="60" spans="1:40" ht="12.9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40" ht="12.9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Y61" s="16"/>
      <c r="Z61" s="16"/>
      <c r="AA61" s="16"/>
      <c r="AB61" s="16"/>
      <c r="AC61" s="16"/>
      <c r="AD61" s="16"/>
      <c r="AE61" s="16"/>
      <c r="AF61" s="1" t="s">
        <v>185</v>
      </c>
      <c r="AH61" s="334">
        <f>IF(OR(E9=AF66,E9=AF67),+AI57-E15,0)</f>
        <v>0</v>
      </c>
      <c r="AI61" s="129"/>
      <c r="AJ61" s="335" t="str">
        <f>IF(AH61&gt;0,CONCATENATE(ROUNDDOWN((AH61)/365.25,0)," años ",ROUNDDOWN(((((AH61)/365.25)-(ROUNDDOWN((AH61)/365.25,0)))*12),0)," meses ",ROUNDUP((((((AH61)/365.25)-(ROUNDDOWN((AH61)/365.25,0)))*12)-(ROUNDDOWN(((((AH61)/365.25)-(ROUNDDOWN((AH61)/365.25,0)))*12),0)))*30.4375,0)," días.")," ")</f>
        <v xml:space="preserve"> </v>
      </c>
    </row>
    <row r="62" spans="1:40" ht="12.9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40" ht="12.9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22" t="s">
        <v>106</v>
      </c>
    </row>
    <row r="64" spans="1:40" ht="12.9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44" t="s">
        <v>231</v>
      </c>
      <c r="AF64" s="2" t="s">
        <v>89</v>
      </c>
    </row>
    <row r="65" spans="1:34" ht="12.9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44" t="s">
        <v>231</v>
      </c>
      <c r="AF65" s="2" t="s">
        <v>88</v>
      </c>
    </row>
    <row r="66" spans="1:34" ht="12.9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2" t="s">
        <v>14</v>
      </c>
    </row>
    <row r="67" spans="1:34" ht="12.9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2" t="s">
        <v>15</v>
      </c>
    </row>
    <row r="68" spans="1:34" ht="12.9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22" t="s">
        <v>108</v>
      </c>
      <c r="AH68" s="42" t="s">
        <v>70</v>
      </c>
    </row>
    <row r="69" spans="1:34" ht="12.9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44" t="s">
        <v>2</v>
      </c>
      <c r="AF69" s="2" t="s">
        <v>11</v>
      </c>
      <c r="AH69" s="1" t="str">
        <f>IF(OR(E11=AF69,E11=AF70,E11=AF71,E11=AF72),"A2","A1")</f>
        <v>A2</v>
      </c>
    </row>
    <row r="70" spans="1:34" ht="12.9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44" t="s">
        <v>2</v>
      </c>
      <c r="AF70" s="2" t="s">
        <v>160</v>
      </c>
    </row>
    <row r="71" spans="1:34" ht="12.9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44" t="s">
        <v>2</v>
      </c>
      <c r="AF71" s="2" t="s">
        <v>20</v>
      </c>
    </row>
    <row r="72" spans="1:34" ht="12.9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44" t="s">
        <v>2</v>
      </c>
      <c r="AF72" s="3" t="s">
        <v>16</v>
      </c>
    </row>
    <row r="73" spans="1:34" ht="12.9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44" t="s">
        <v>1</v>
      </c>
      <c r="AF73" s="2" t="s">
        <v>21</v>
      </c>
    </row>
    <row r="74" spans="1:34" ht="12.9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44" t="s">
        <v>1</v>
      </c>
      <c r="AF74" s="3" t="s">
        <v>17</v>
      </c>
    </row>
    <row r="75" spans="1:34" ht="12.95" customHeight="1" x14ac:dyDescent="0.2">
      <c r="AE75" s="42" t="s">
        <v>1</v>
      </c>
      <c r="AF75" s="2" t="s">
        <v>18</v>
      </c>
    </row>
    <row r="76" spans="1:34" ht="12.95" customHeight="1" x14ac:dyDescent="0.2">
      <c r="AE76" s="42" t="s">
        <v>1</v>
      </c>
      <c r="AF76" s="2" t="s">
        <v>19</v>
      </c>
    </row>
    <row r="77" spans="1:34" ht="12.95" customHeight="1" x14ac:dyDescent="0.2">
      <c r="AE77" s="42" t="s">
        <v>1</v>
      </c>
      <c r="AF77" s="174" t="s">
        <v>143</v>
      </c>
    </row>
    <row r="78" spans="1:34" ht="12.95" customHeight="1" x14ac:dyDescent="0.2">
      <c r="AE78" s="42" t="s">
        <v>1</v>
      </c>
      <c r="AF78" s="174" t="s">
        <v>144</v>
      </c>
    </row>
    <row r="79" spans="1:34" ht="15" x14ac:dyDescent="0.25">
      <c r="AF79" s="122" t="s">
        <v>109</v>
      </c>
    </row>
    <row r="80" spans="1:34" x14ac:dyDescent="0.2">
      <c r="AF80" s="2" t="s">
        <v>25</v>
      </c>
    </row>
    <row r="81" spans="32:32" x14ac:dyDescent="0.2">
      <c r="AF81" s="2" t="s">
        <v>23</v>
      </c>
    </row>
    <row r="82" spans="32:32" ht="15" x14ac:dyDescent="0.25">
      <c r="AF82" s="122" t="s">
        <v>125</v>
      </c>
    </row>
    <row r="83" spans="32:32" x14ac:dyDescent="0.2">
      <c r="AF83" s="2" t="s">
        <v>87</v>
      </c>
    </row>
    <row r="84" spans="32:32" x14ac:dyDescent="0.2">
      <c r="AF84" s="2" t="s">
        <v>126</v>
      </c>
    </row>
    <row r="85" spans="32:32" x14ac:dyDescent="0.2">
      <c r="AF85" s="2"/>
    </row>
    <row r="86" spans="32:32" x14ac:dyDescent="0.2">
      <c r="AF86" s="6" t="s">
        <v>13</v>
      </c>
    </row>
    <row r="87" spans="32:32" x14ac:dyDescent="0.2">
      <c r="AF87" s="6" t="s">
        <v>12</v>
      </c>
    </row>
    <row r="89" spans="32:32" x14ac:dyDescent="0.2">
      <c r="AF89" s="1">
        <v>0</v>
      </c>
    </row>
    <row r="90" spans="32:32" x14ac:dyDescent="0.2">
      <c r="AF90" s="1">
        <v>1</v>
      </c>
    </row>
    <row r="91" spans="32:32" x14ac:dyDescent="0.2">
      <c r="AF91" s="1">
        <v>2</v>
      </c>
    </row>
    <row r="92" spans="32:32" x14ac:dyDescent="0.2">
      <c r="AF92" s="1">
        <v>3</v>
      </c>
    </row>
    <row r="93" spans="32:32" x14ac:dyDescent="0.2">
      <c r="AF93" s="1">
        <v>4</v>
      </c>
    </row>
    <row r="94" spans="32:32" x14ac:dyDescent="0.2">
      <c r="AF94" s="1">
        <v>5</v>
      </c>
    </row>
    <row r="95" spans="32:32" x14ac:dyDescent="0.2">
      <c r="AF95" s="1">
        <v>6</v>
      </c>
    </row>
    <row r="96" spans="32:32" x14ac:dyDescent="0.2">
      <c r="AF96" s="1">
        <v>7</v>
      </c>
    </row>
    <row r="97" spans="32:32" x14ac:dyDescent="0.2">
      <c r="AF97" s="1">
        <v>8</v>
      </c>
    </row>
  </sheetData>
  <sheetProtection algorithmName="SHA-512" hashValue="NCeFtVNvmz6ovp2W56gkSSI8rtyAuKAGy0T4h2Ncr+Jmm0BCRwuwNCPeLWHfMpnuuLCelVMknpZVntzi/nguXw==" saltValue="f8l7VImO8mOVjPg5j4JsIw==" spinCount="100000" sheet="1" objects="1" scenarios="1"/>
  <dataConsolidate/>
  <mergeCells count="37">
    <mergeCell ref="AI57:AJ57"/>
    <mergeCell ref="P15:Y15"/>
    <mergeCell ref="P19:Y19"/>
    <mergeCell ref="E17:F17"/>
    <mergeCell ref="D19:E19"/>
    <mergeCell ref="E15:F15"/>
    <mergeCell ref="D47:I47"/>
    <mergeCell ref="D49:I49"/>
    <mergeCell ref="D51:I51"/>
    <mergeCell ref="D53:I53"/>
    <mergeCell ref="L45:L54"/>
    <mergeCell ref="D43:I43"/>
    <mergeCell ref="D22:G22"/>
    <mergeCell ref="E24:F24"/>
    <mergeCell ref="D45:I45"/>
    <mergeCell ref="J41:L41"/>
    <mergeCell ref="C2:Y2"/>
    <mergeCell ref="C1:Y1"/>
    <mergeCell ref="R51:X51"/>
    <mergeCell ref="R49:X49"/>
    <mergeCell ref="R38:X38"/>
    <mergeCell ref="R36:X36"/>
    <mergeCell ref="Q41:Y41"/>
    <mergeCell ref="Q28:Y28"/>
    <mergeCell ref="Q22:Y22"/>
    <mergeCell ref="P7:Y7"/>
    <mergeCell ref="D4:Y4"/>
    <mergeCell ref="E9:L9"/>
    <mergeCell ref="E11:L11"/>
    <mergeCell ref="C7:L7"/>
    <mergeCell ref="E13:F13"/>
    <mergeCell ref="D41:I41"/>
    <mergeCell ref="R11:V11"/>
    <mergeCell ref="R13:V13"/>
    <mergeCell ref="H17:L17"/>
    <mergeCell ref="I28:L36"/>
    <mergeCell ref="I19:L19"/>
  </mergeCells>
  <dataValidations count="7">
    <dataValidation type="list" allowBlank="1" showInputMessage="1" showErrorMessage="1" sqref="Y47 Y32 Y34 Y36 Y45 Y49 Y51 Y38" xr:uid="{00000000-0002-0000-0000-000000000000}">
      <formula1>$AF$89:$AF$97</formula1>
    </dataValidation>
    <dataValidation type="list" allowBlank="1" showInputMessage="1" showErrorMessage="1" sqref="Y30 Y26 Y24" xr:uid="{00000000-0002-0000-0000-000001000000}">
      <formula1>$AF$86:$AF$87</formula1>
    </dataValidation>
    <dataValidation type="list" allowBlank="1" showInputMessage="1" showErrorMessage="1" sqref="Y43" xr:uid="{00000000-0002-0000-0000-000002000000}">
      <formula1>$AF$90:$AF$93</formula1>
    </dataValidation>
    <dataValidation type="list" allowBlank="1" showInputMessage="1" showErrorMessage="1" sqref="S17" xr:uid="{00000000-0002-0000-0000-000003000000}">
      <formula1>$AF$80:$AF$81</formula1>
    </dataValidation>
    <dataValidation type="list" allowBlank="1" showInputMessage="1" showErrorMessage="1" sqref="E17:F17" xr:uid="{00000000-0002-0000-0000-000004000000}">
      <formula1>$AF$83:$AF$85</formula1>
    </dataValidation>
    <dataValidation type="list" allowBlank="1" showInputMessage="1" showErrorMessage="1" sqref="E11:L11" xr:uid="{00000000-0002-0000-0000-000005000000}">
      <formula1>$AF$69:$AF$78</formula1>
    </dataValidation>
    <dataValidation type="list" allowBlank="1" showInputMessage="1" showErrorMessage="1" sqref="E9:L9" xr:uid="{00000000-0002-0000-0000-000006000000}">
      <formula1>$AF$64:$AF$67</formula1>
    </dataValidation>
  </dataValidations>
  <hyperlinks>
    <hyperlink ref="R9:T9" r:id="rId1" display="Número hijos antes de comenzar a trabajar" xr:uid="{00000000-0004-0000-0000-000000000000}"/>
    <hyperlink ref="R13:V13" r:id="rId2" display="Servicio Militar, tiempo superior al obligatorio del momento en que se realizó" xr:uid="{00000000-0004-0000-0000-000001000000}"/>
    <hyperlink ref="J41:L41" r:id="rId3" display="Ir a Vida Laboral" xr:uid="{00000000-0004-0000-0000-000002000000}"/>
    <hyperlink ref="R11:V11" r:id="rId4" display="Hijos nacidos estando sin cotizar en periodo entre 9 meses antes nacimiento: " xr:uid="{00000000-0004-0000-0000-000003000000}"/>
  </hyperlinks>
  <pageMargins left="0.7" right="0.7" top="0.75" bottom="0.75" header="0.3" footer="0.3"/>
  <pageSetup paperSize="9" orientation="portrait" horizontalDpi="4294967292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VV40"/>
  <sheetViews>
    <sheetView topLeftCell="XFD1" workbookViewId="0">
      <selection sqref="A1:XFD1048576"/>
    </sheetView>
    <sheetView topLeftCell="XFD1048576" workbookViewId="1">
      <selection sqref="A1:C1"/>
    </sheetView>
  </sheetViews>
  <sheetFormatPr baseColWidth="10" defaultColWidth="0" defaultRowHeight="12.75" x14ac:dyDescent="0.2"/>
  <cols>
    <col min="1" max="1" width="80.7109375" style="1" hidden="1"/>
    <col min="2" max="2" width="9.140625" style="1" hidden="1"/>
    <col min="3" max="3" width="11.85546875" style="1" hidden="1"/>
    <col min="4" max="4" width="33.5703125" style="1" hidden="1"/>
    <col min="5" max="7" width="13.28515625" style="1" hidden="1"/>
    <col min="8" max="8" width="12.140625" style="1" hidden="1"/>
    <col min="9" max="9" width="10.7109375" style="1" hidden="1"/>
    <col min="10" max="10" width="3.7109375" style="1" hidden="1"/>
    <col min="11" max="12" width="11.42578125" style="1" hidden="1"/>
    <col min="13" max="13" width="12" style="1" hidden="1"/>
    <col min="14" max="14" width="15.5703125" style="1" hidden="1"/>
    <col min="15" max="258" width="11.42578125" style="1" hidden="1"/>
    <col min="259" max="259" width="82.85546875" style="1" hidden="1"/>
    <col min="260" max="260" width="10.42578125" style="1" hidden="1"/>
    <col min="261" max="261" width="14.28515625" style="1" hidden="1"/>
    <col min="262" max="263" width="13.28515625" style="1" hidden="1"/>
    <col min="264" max="264" width="12.140625" style="1" hidden="1"/>
    <col min="265" max="265" width="10.7109375" style="1" hidden="1"/>
    <col min="266" max="268" width="11.42578125" style="1" hidden="1"/>
    <col min="269" max="269" width="12" style="1" hidden="1"/>
    <col min="270" max="270" width="15.5703125" style="1" hidden="1"/>
    <col min="271" max="514" width="11.42578125" style="1" hidden="1"/>
    <col min="515" max="515" width="82.85546875" style="1" hidden="1"/>
    <col min="516" max="516" width="10.42578125" style="1" hidden="1"/>
    <col min="517" max="517" width="14.28515625" style="1" hidden="1"/>
    <col min="518" max="519" width="13.28515625" style="1" hidden="1"/>
    <col min="520" max="520" width="12.140625" style="1" hidden="1"/>
    <col min="521" max="521" width="10.7109375" style="1" hidden="1"/>
    <col min="522" max="524" width="11.42578125" style="1" hidden="1"/>
    <col min="525" max="525" width="12" style="1" hidden="1"/>
    <col min="526" max="526" width="15.5703125" style="1" hidden="1"/>
    <col min="527" max="770" width="11.42578125" style="1" hidden="1"/>
    <col min="771" max="771" width="82.85546875" style="1" hidden="1"/>
    <col min="772" max="772" width="10.42578125" style="1" hidden="1"/>
    <col min="773" max="773" width="14.28515625" style="1" hidden="1"/>
    <col min="774" max="775" width="13.28515625" style="1" hidden="1"/>
    <col min="776" max="776" width="12.140625" style="1" hidden="1"/>
    <col min="777" max="777" width="10.7109375" style="1" hidden="1"/>
    <col min="778" max="780" width="11.42578125" style="1" hidden="1"/>
    <col min="781" max="781" width="12" style="1" hidden="1"/>
    <col min="782" max="782" width="15.5703125" style="1" hidden="1"/>
    <col min="783" max="1026" width="11.42578125" style="1" hidden="1"/>
    <col min="1027" max="1027" width="82.85546875" style="1" hidden="1"/>
    <col min="1028" max="1028" width="10.42578125" style="1" hidden="1"/>
    <col min="1029" max="1029" width="14.28515625" style="1" hidden="1"/>
    <col min="1030" max="1031" width="13.28515625" style="1" hidden="1"/>
    <col min="1032" max="1032" width="12.140625" style="1" hidden="1"/>
    <col min="1033" max="1033" width="10.7109375" style="1" hidden="1"/>
    <col min="1034" max="1036" width="11.42578125" style="1" hidden="1"/>
    <col min="1037" max="1037" width="12" style="1" hidden="1"/>
    <col min="1038" max="1038" width="15.5703125" style="1" hidden="1"/>
    <col min="1039" max="1282" width="11.42578125" style="1" hidden="1"/>
    <col min="1283" max="1283" width="82.85546875" style="1" hidden="1"/>
    <col min="1284" max="1284" width="10.42578125" style="1" hidden="1"/>
    <col min="1285" max="1285" width="14.28515625" style="1" hidden="1"/>
    <col min="1286" max="1287" width="13.28515625" style="1" hidden="1"/>
    <col min="1288" max="1288" width="12.140625" style="1" hidden="1"/>
    <col min="1289" max="1289" width="10.7109375" style="1" hidden="1"/>
    <col min="1290" max="1292" width="11.42578125" style="1" hidden="1"/>
    <col min="1293" max="1293" width="12" style="1" hidden="1"/>
    <col min="1294" max="1294" width="15.5703125" style="1" hidden="1"/>
    <col min="1295" max="1538" width="11.42578125" style="1" hidden="1"/>
    <col min="1539" max="1539" width="82.85546875" style="1" hidden="1"/>
    <col min="1540" max="1540" width="10.42578125" style="1" hidden="1"/>
    <col min="1541" max="1541" width="14.28515625" style="1" hidden="1"/>
    <col min="1542" max="1543" width="13.28515625" style="1" hidden="1"/>
    <col min="1544" max="1544" width="12.140625" style="1" hidden="1"/>
    <col min="1545" max="1545" width="10.7109375" style="1" hidden="1"/>
    <col min="1546" max="1548" width="11.42578125" style="1" hidden="1"/>
    <col min="1549" max="1549" width="12" style="1" hidden="1"/>
    <col min="1550" max="1550" width="15.5703125" style="1" hidden="1"/>
    <col min="1551" max="1794" width="11.42578125" style="1" hidden="1"/>
    <col min="1795" max="1795" width="82.85546875" style="1" hidden="1"/>
    <col min="1796" max="1796" width="10.42578125" style="1" hidden="1"/>
    <col min="1797" max="1797" width="14.28515625" style="1" hidden="1"/>
    <col min="1798" max="1799" width="13.28515625" style="1" hidden="1"/>
    <col min="1800" max="1800" width="12.140625" style="1" hidden="1"/>
    <col min="1801" max="1801" width="10.7109375" style="1" hidden="1"/>
    <col min="1802" max="1804" width="11.42578125" style="1" hidden="1"/>
    <col min="1805" max="1805" width="12" style="1" hidden="1"/>
    <col min="1806" max="1806" width="15.5703125" style="1" hidden="1"/>
    <col min="1807" max="2050" width="11.42578125" style="1" hidden="1"/>
    <col min="2051" max="2051" width="82.85546875" style="1" hidden="1"/>
    <col min="2052" max="2052" width="10.42578125" style="1" hidden="1"/>
    <col min="2053" max="2053" width="14.28515625" style="1" hidden="1"/>
    <col min="2054" max="2055" width="13.28515625" style="1" hidden="1"/>
    <col min="2056" max="2056" width="12.140625" style="1" hidden="1"/>
    <col min="2057" max="2057" width="10.7109375" style="1" hidden="1"/>
    <col min="2058" max="2060" width="11.42578125" style="1" hidden="1"/>
    <col min="2061" max="2061" width="12" style="1" hidden="1"/>
    <col min="2062" max="2062" width="15.5703125" style="1" hidden="1"/>
    <col min="2063" max="2306" width="11.42578125" style="1" hidden="1"/>
    <col min="2307" max="2307" width="82.85546875" style="1" hidden="1"/>
    <col min="2308" max="2308" width="10.42578125" style="1" hidden="1"/>
    <col min="2309" max="2309" width="14.28515625" style="1" hidden="1"/>
    <col min="2310" max="2311" width="13.28515625" style="1" hidden="1"/>
    <col min="2312" max="2312" width="12.140625" style="1" hidden="1"/>
    <col min="2313" max="2313" width="10.7109375" style="1" hidden="1"/>
    <col min="2314" max="2316" width="11.42578125" style="1" hidden="1"/>
    <col min="2317" max="2317" width="12" style="1" hidden="1"/>
    <col min="2318" max="2318" width="15.5703125" style="1" hidden="1"/>
    <col min="2319" max="2562" width="11.42578125" style="1" hidden="1"/>
    <col min="2563" max="2563" width="82.85546875" style="1" hidden="1"/>
    <col min="2564" max="2564" width="10.42578125" style="1" hidden="1"/>
    <col min="2565" max="2565" width="14.28515625" style="1" hidden="1"/>
    <col min="2566" max="2567" width="13.28515625" style="1" hidden="1"/>
    <col min="2568" max="2568" width="12.140625" style="1" hidden="1"/>
    <col min="2569" max="2569" width="10.7109375" style="1" hidden="1"/>
    <col min="2570" max="2572" width="11.42578125" style="1" hidden="1"/>
    <col min="2573" max="2573" width="12" style="1" hidden="1"/>
    <col min="2574" max="2574" width="15.5703125" style="1" hidden="1"/>
    <col min="2575" max="2818" width="11.42578125" style="1" hidden="1"/>
    <col min="2819" max="2819" width="82.85546875" style="1" hidden="1"/>
    <col min="2820" max="2820" width="10.42578125" style="1" hidden="1"/>
    <col min="2821" max="2821" width="14.28515625" style="1" hidden="1"/>
    <col min="2822" max="2823" width="13.28515625" style="1" hidden="1"/>
    <col min="2824" max="2824" width="12.140625" style="1" hidden="1"/>
    <col min="2825" max="2825" width="10.7109375" style="1" hidden="1"/>
    <col min="2826" max="2828" width="11.42578125" style="1" hidden="1"/>
    <col min="2829" max="2829" width="12" style="1" hidden="1"/>
    <col min="2830" max="2830" width="15.5703125" style="1" hidden="1"/>
    <col min="2831" max="3074" width="11.42578125" style="1" hidden="1"/>
    <col min="3075" max="3075" width="82.85546875" style="1" hidden="1"/>
    <col min="3076" max="3076" width="10.42578125" style="1" hidden="1"/>
    <col min="3077" max="3077" width="14.28515625" style="1" hidden="1"/>
    <col min="3078" max="3079" width="13.28515625" style="1" hidden="1"/>
    <col min="3080" max="3080" width="12.140625" style="1" hidden="1"/>
    <col min="3081" max="3081" width="10.7109375" style="1" hidden="1"/>
    <col min="3082" max="3084" width="11.42578125" style="1" hidden="1"/>
    <col min="3085" max="3085" width="12" style="1" hidden="1"/>
    <col min="3086" max="3086" width="15.5703125" style="1" hidden="1"/>
    <col min="3087" max="3330" width="11.42578125" style="1" hidden="1"/>
    <col min="3331" max="3331" width="82.85546875" style="1" hidden="1"/>
    <col min="3332" max="3332" width="10.42578125" style="1" hidden="1"/>
    <col min="3333" max="3333" width="14.28515625" style="1" hidden="1"/>
    <col min="3334" max="3335" width="13.28515625" style="1" hidden="1"/>
    <col min="3336" max="3336" width="12.140625" style="1" hidden="1"/>
    <col min="3337" max="3337" width="10.7109375" style="1" hidden="1"/>
    <col min="3338" max="3340" width="11.42578125" style="1" hidden="1"/>
    <col min="3341" max="3341" width="12" style="1" hidden="1"/>
    <col min="3342" max="3342" width="15.5703125" style="1" hidden="1"/>
    <col min="3343" max="3586" width="11.42578125" style="1" hidden="1"/>
    <col min="3587" max="3587" width="82.85546875" style="1" hidden="1"/>
    <col min="3588" max="3588" width="10.42578125" style="1" hidden="1"/>
    <col min="3589" max="3589" width="14.28515625" style="1" hidden="1"/>
    <col min="3590" max="3591" width="13.28515625" style="1" hidden="1"/>
    <col min="3592" max="3592" width="12.140625" style="1" hidden="1"/>
    <col min="3593" max="3593" width="10.7109375" style="1" hidden="1"/>
    <col min="3594" max="3596" width="11.42578125" style="1" hidden="1"/>
    <col min="3597" max="3597" width="12" style="1" hidden="1"/>
    <col min="3598" max="3598" width="15.5703125" style="1" hidden="1"/>
    <col min="3599" max="3842" width="11.42578125" style="1" hidden="1"/>
    <col min="3843" max="3843" width="82.85546875" style="1" hidden="1"/>
    <col min="3844" max="3844" width="10.42578125" style="1" hidden="1"/>
    <col min="3845" max="3845" width="14.28515625" style="1" hidden="1"/>
    <col min="3846" max="3847" width="13.28515625" style="1" hidden="1"/>
    <col min="3848" max="3848" width="12.140625" style="1" hidden="1"/>
    <col min="3849" max="3849" width="10.7109375" style="1" hidden="1"/>
    <col min="3850" max="3852" width="11.42578125" style="1" hidden="1"/>
    <col min="3853" max="3853" width="12" style="1" hidden="1"/>
    <col min="3854" max="3854" width="15.5703125" style="1" hidden="1"/>
    <col min="3855" max="4098" width="11.42578125" style="1" hidden="1"/>
    <col min="4099" max="4099" width="82.85546875" style="1" hidden="1"/>
    <col min="4100" max="4100" width="10.42578125" style="1" hidden="1"/>
    <col min="4101" max="4101" width="14.28515625" style="1" hidden="1"/>
    <col min="4102" max="4103" width="13.28515625" style="1" hidden="1"/>
    <col min="4104" max="4104" width="12.140625" style="1" hidden="1"/>
    <col min="4105" max="4105" width="10.7109375" style="1" hidden="1"/>
    <col min="4106" max="4108" width="11.42578125" style="1" hidden="1"/>
    <col min="4109" max="4109" width="12" style="1" hidden="1"/>
    <col min="4110" max="4110" width="15.5703125" style="1" hidden="1"/>
    <col min="4111" max="4354" width="11.42578125" style="1" hidden="1"/>
    <col min="4355" max="4355" width="82.85546875" style="1" hidden="1"/>
    <col min="4356" max="4356" width="10.42578125" style="1" hidden="1"/>
    <col min="4357" max="4357" width="14.28515625" style="1" hidden="1"/>
    <col min="4358" max="4359" width="13.28515625" style="1" hidden="1"/>
    <col min="4360" max="4360" width="12.140625" style="1" hidden="1"/>
    <col min="4361" max="4361" width="10.7109375" style="1" hidden="1"/>
    <col min="4362" max="4364" width="11.42578125" style="1" hidden="1"/>
    <col min="4365" max="4365" width="12" style="1" hidden="1"/>
    <col min="4366" max="4366" width="15.5703125" style="1" hidden="1"/>
    <col min="4367" max="4610" width="11.42578125" style="1" hidden="1"/>
    <col min="4611" max="4611" width="82.85546875" style="1" hidden="1"/>
    <col min="4612" max="4612" width="10.42578125" style="1" hidden="1"/>
    <col min="4613" max="4613" width="14.28515625" style="1" hidden="1"/>
    <col min="4614" max="4615" width="13.28515625" style="1" hidden="1"/>
    <col min="4616" max="4616" width="12.140625" style="1" hidden="1"/>
    <col min="4617" max="4617" width="10.7109375" style="1" hidden="1"/>
    <col min="4618" max="4620" width="11.42578125" style="1" hidden="1"/>
    <col min="4621" max="4621" width="12" style="1" hidden="1"/>
    <col min="4622" max="4622" width="15.5703125" style="1" hidden="1"/>
    <col min="4623" max="4866" width="11.42578125" style="1" hidden="1"/>
    <col min="4867" max="4867" width="82.85546875" style="1" hidden="1"/>
    <col min="4868" max="4868" width="10.42578125" style="1" hidden="1"/>
    <col min="4869" max="4869" width="14.28515625" style="1" hidden="1"/>
    <col min="4870" max="4871" width="13.28515625" style="1" hidden="1"/>
    <col min="4872" max="4872" width="12.140625" style="1" hidden="1"/>
    <col min="4873" max="4873" width="10.7109375" style="1" hidden="1"/>
    <col min="4874" max="4876" width="11.42578125" style="1" hidden="1"/>
    <col min="4877" max="4877" width="12" style="1" hidden="1"/>
    <col min="4878" max="4878" width="15.5703125" style="1" hidden="1"/>
    <col min="4879" max="5122" width="11.42578125" style="1" hidden="1"/>
    <col min="5123" max="5123" width="82.85546875" style="1" hidden="1"/>
    <col min="5124" max="5124" width="10.42578125" style="1" hidden="1"/>
    <col min="5125" max="5125" width="14.28515625" style="1" hidden="1"/>
    <col min="5126" max="5127" width="13.28515625" style="1" hidden="1"/>
    <col min="5128" max="5128" width="12.140625" style="1" hidden="1"/>
    <col min="5129" max="5129" width="10.7109375" style="1" hidden="1"/>
    <col min="5130" max="5132" width="11.42578125" style="1" hidden="1"/>
    <col min="5133" max="5133" width="12" style="1" hidden="1"/>
    <col min="5134" max="5134" width="15.5703125" style="1" hidden="1"/>
    <col min="5135" max="5378" width="11.42578125" style="1" hidden="1"/>
    <col min="5379" max="5379" width="82.85546875" style="1" hidden="1"/>
    <col min="5380" max="5380" width="10.42578125" style="1" hidden="1"/>
    <col min="5381" max="5381" width="14.28515625" style="1" hidden="1"/>
    <col min="5382" max="5383" width="13.28515625" style="1" hidden="1"/>
    <col min="5384" max="5384" width="12.140625" style="1" hidden="1"/>
    <col min="5385" max="5385" width="10.7109375" style="1" hidden="1"/>
    <col min="5386" max="5388" width="11.42578125" style="1" hidden="1"/>
    <col min="5389" max="5389" width="12" style="1" hidden="1"/>
    <col min="5390" max="5390" width="15.5703125" style="1" hidden="1"/>
    <col min="5391" max="5634" width="11.42578125" style="1" hidden="1"/>
    <col min="5635" max="5635" width="82.85546875" style="1" hidden="1"/>
    <col min="5636" max="5636" width="10.42578125" style="1" hidden="1"/>
    <col min="5637" max="5637" width="14.28515625" style="1" hidden="1"/>
    <col min="5638" max="5639" width="13.28515625" style="1" hidden="1"/>
    <col min="5640" max="5640" width="12.140625" style="1" hidden="1"/>
    <col min="5641" max="5641" width="10.7109375" style="1" hidden="1"/>
    <col min="5642" max="5644" width="11.42578125" style="1" hidden="1"/>
    <col min="5645" max="5645" width="12" style="1" hidden="1"/>
    <col min="5646" max="5646" width="15.5703125" style="1" hidden="1"/>
    <col min="5647" max="5890" width="11.42578125" style="1" hidden="1"/>
    <col min="5891" max="5891" width="82.85546875" style="1" hidden="1"/>
    <col min="5892" max="5892" width="10.42578125" style="1" hidden="1"/>
    <col min="5893" max="5893" width="14.28515625" style="1" hidden="1"/>
    <col min="5894" max="5895" width="13.28515625" style="1" hidden="1"/>
    <col min="5896" max="5896" width="12.140625" style="1" hidden="1"/>
    <col min="5897" max="5897" width="10.7109375" style="1" hidden="1"/>
    <col min="5898" max="5900" width="11.42578125" style="1" hidden="1"/>
    <col min="5901" max="5901" width="12" style="1" hidden="1"/>
    <col min="5902" max="5902" width="15.5703125" style="1" hidden="1"/>
    <col min="5903" max="6146" width="11.42578125" style="1" hidden="1"/>
    <col min="6147" max="6147" width="82.85546875" style="1" hidden="1"/>
    <col min="6148" max="6148" width="10.42578125" style="1" hidden="1"/>
    <col min="6149" max="6149" width="14.28515625" style="1" hidden="1"/>
    <col min="6150" max="6151" width="13.28515625" style="1" hidden="1"/>
    <col min="6152" max="6152" width="12.140625" style="1" hidden="1"/>
    <col min="6153" max="6153" width="10.7109375" style="1" hidden="1"/>
    <col min="6154" max="6156" width="11.42578125" style="1" hidden="1"/>
    <col min="6157" max="6157" width="12" style="1" hidden="1"/>
    <col min="6158" max="6158" width="15.5703125" style="1" hidden="1"/>
    <col min="6159" max="6402" width="11.42578125" style="1" hidden="1"/>
    <col min="6403" max="6403" width="82.85546875" style="1" hidden="1"/>
    <col min="6404" max="6404" width="10.42578125" style="1" hidden="1"/>
    <col min="6405" max="6405" width="14.28515625" style="1" hidden="1"/>
    <col min="6406" max="6407" width="13.28515625" style="1" hidden="1"/>
    <col min="6408" max="6408" width="12.140625" style="1" hidden="1"/>
    <col min="6409" max="6409" width="10.7109375" style="1" hidden="1"/>
    <col min="6410" max="6412" width="11.42578125" style="1" hidden="1"/>
    <col min="6413" max="6413" width="12" style="1" hidden="1"/>
    <col min="6414" max="6414" width="15.5703125" style="1" hidden="1"/>
    <col min="6415" max="6658" width="11.42578125" style="1" hidden="1"/>
    <col min="6659" max="6659" width="82.85546875" style="1" hidden="1"/>
    <col min="6660" max="6660" width="10.42578125" style="1" hidden="1"/>
    <col min="6661" max="6661" width="14.28515625" style="1" hidden="1"/>
    <col min="6662" max="6663" width="13.28515625" style="1" hidden="1"/>
    <col min="6664" max="6664" width="12.140625" style="1" hidden="1"/>
    <col min="6665" max="6665" width="10.7109375" style="1" hidden="1"/>
    <col min="6666" max="6668" width="11.42578125" style="1" hidden="1"/>
    <col min="6669" max="6669" width="12" style="1" hidden="1"/>
    <col min="6670" max="6670" width="15.5703125" style="1" hidden="1"/>
    <col min="6671" max="6914" width="11.42578125" style="1" hidden="1"/>
    <col min="6915" max="6915" width="82.85546875" style="1" hidden="1"/>
    <col min="6916" max="6916" width="10.42578125" style="1" hidden="1"/>
    <col min="6917" max="6917" width="14.28515625" style="1" hidden="1"/>
    <col min="6918" max="6919" width="13.28515625" style="1" hidden="1"/>
    <col min="6920" max="6920" width="12.140625" style="1" hidden="1"/>
    <col min="6921" max="6921" width="10.7109375" style="1" hidden="1"/>
    <col min="6922" max="6924" width="11.42578125" style="1" hidden="1"/>
    <col min="6925" max="6925" width="12" style="1" hidden="1"/>
    <col min="6926" max="6926" width="15.5703125" style="1" hidden="1"/>
    <col min="6927" max="7170" width="11.42578125" style="1" hidden="1"/>
    <col min="7171" max="7171" width="82.85546875" style="1" hidden="1"/>
    <col min="7172" max="7172" width="10.42578125" style="1" hidden="1"/>
    <col min="7173" max="7173" width="14.28515625" style="1" hidden="1"/>
    <col min="7174" max="7175" width="13.28515625" style="1" hidden="1"/>
    <col min="7176" max="7176" width="12.140625" style="1" hidden="1"/>
    <col min="7177" max="7177" width="10.7109375" style="1" hidden="1"/>
    <col min="7178" max="7180" width="11.42578125" style="1" hidden="1"/>
    <col min="7181" max="7181" width="12" style="1" hidden="1"/>
    <col min="7182" max="7182" width="15.5703125" style="1" hidden="1"/>
    <col min="7183" max="7426" width="11.42578125" style="1" hidden="1"/>
    <col min="7427" max="7427" width="82.85546875" style="1" hidden="1"/>
    <col min="7428" max="7428" width="10.42578125" style="1" hidden="1"/>
    <col min="7429" max="7429" width="14.28515625" style="1" hidden="1"/>
    <col min="7430" max="7431" width="13.28515625" style="1" hidden="1"/>
    <col min="7432" max="7432" width="12.140625" style="1" hidden="1"/>
    <col min="7433" max="7433" width="10.7109375" style="1" hidden="1"/>
    <col min="7434" max="7436" width="11.42578125" style="1" hidden="1"/>
    <col min="7437" max="7437" width="12" style="1" hidden="1"/>
    <col min="7438" max="7438" width="15.5703125" style="1" hidden="1"/>
    <col min="7439" max="7682" width="11.42578125" style="1" hidden="1"/>
    <col min="7683" max="7683" width="82.85546875" style="1" hidden="1"/>
    <col min="7684" max="7684" width="10.42578125" style="1" hidden="1"/>
    <col min="7685" max="7685" width="14.28515625" style="1" hidden="1"/>
    <col min="7686" max="7687" width="13.28515625" style="1" hidden="1"/>
    <col min="7688" max="7688" width="12.140625" style="1" hidden="1"/>
    <col min="7689" max="7689" width="10.7109375" style="1" hidden="1"/>
    <col min="7690" max="7692" width="11.42578125" style="1" hidden="1"/>
    <col min="7693" max="7693" width="12" style="1" hidden="1"/>
    <col min="7694" max="7694" width="15.5703125" style="1" hidden="1"/>
    <col min="7695" max="7938" width="11.42578125" style="1" hidden="1"/>
    <col min="7939" max="7939" width="82.85546875" style="1" hidden="1"/>
    <col min="7940" max="7940" width="10.42578125" style="1" hidden="1"/>
    <col min="7941" max="7941" width="14.28515625" style="1" hidden="1"/>
    <col min="7942" max="7943" width="13.28515625" style="1" hidden="1"/>
    <col min="7944" max="7944" width="12.140625" style="1" hidden="1"/>
    <col min="7945" max="7945" width="10.7109375" style="1" hidden="1"/>
    <col min="7946" max="7948" width="11.42578125" style="1" hidden="1"/>
    <col min="7949" max="7949" width="12" style="1" hidden="1"/>
    <col min="7950" max="7950" width="15.5703125" style="1" hidden="1"/>
    <col min="7951" max="8194" width="11.42578125" style="1" hidden="1"/>
    <col min="8195" max="8195" width="82.85546875" style="1" hidden="1"/>
    <col min="8196" max="8196" width="10.42578125" style="1" hidden="1"/>
    <col min="8197" max="8197" width="14.28515625" style="1" hidden="1"/>
    <col min="8198" max="8199" width="13.28515625" style="1" hidden="1"/>
    <col min="8200" max="8200" width="12.140625" style="1" hidden="1"/>
    <col min="8201" max="8201" width="10.7109375" style="1" hidden="1"/>
    <col min="8202" max="8204" width="11.42578125" style="1" hidden="1"/>
    <col min="8205" max="8205" width="12" style="1" hidden="1"/>
    <col min="8206" max="8206" width="15.5703125" style="1" hidden="1"/>
    <col min="8207" max="8450" width="11.42578125" style="1" hidden="1"/>
    <col min="8451" max="8451" width="82.85546875" style="1" hidden="1"/>
    <col min="8452" max="8452" width="10.42578125" style="1" hidden="1"/>
    <col min="8453" max="8453" width="14.28515625" style="1" hidden="1"/>
    <col min="8454" max="8455" width="13.28515625" style="1" hidden="1"/>
    <col min="8456" max="8456" width="12.140625" style="1" hidden="1"/>
    <col min="8457" max="8457" width="10.7109375" style="1" hidden="1"/>
    <col min="8458" max="8460" width="11.42578125" style="1" hidden="1"/>
    <col min="8461" max="8461" width="12" style="1" hidden="1"/>
    <col min="8462" max="8462" width="15.5703125" style="1" hidden="1"/>
    <col min="8463" max="8706" width="11.42578125" style="1" hidden="1"/>
    <col min="8707" max="8707" width="82.85546875" style="1" hidden="1"/>
    <col min="8708" max="8708" width="10.42578125" style="1" hidden="1"/>
    <col min="8709" max="8709" width="14.28515625" style="1" hidden="1"/>
    <col min="8710" max="8711" width="13.28515625" style="1" hidden="1"/>
    <col min="8712" max="8712" width="12.140625" style="1" hidden="1"/>
    <col min="8713" max="8713" width="10.7109375" style="1" hidden="1"/>
    <col min="8714" max="8716" width="11.42578125" style="1" hidden="1"/>
    <col min="8717" max="8717" width="12" style="1" hidden="1"/>
    <col min="8718" max="8718" width="15.5703125" style="1" hidden="1"/>
    <col min="8719" max="8962" width="11.42578125" style="1" hidden="1"/>
    <col min="8963" max="8963" width="82.85546875" style="1" hidden="1"/>
    <col min="8964" max="8964" width="10.42578125" style="1" hidden="1"/>
    <col min="8965" max="8965" width="14.28515625" style="1" hidden="1"/>
    <col min="8966" max="8967" width="13.28515625" style="1" hidden="1"/>
    <col min="8968" max="8968" width="12.140625" style="1" hidden="1"/>
    <col min="8969" max="8969" width="10.7109375" style="1" hidden="1"/>
    <col min="8970" max="8972" width="11.42578125" style="1" hidden="1"/>
    <col min="8973" max="8973" width="12" style="1" hidden="1"/>
    <col min="8974" max="8974" width="15.5703125" style="1" hidden="1"/>
    <col min="8975" max="9218" width="11.42578125" style="1" hidden="1"/>
    <col min="9219" max="9219" width="82.85546875" style="1" hidden="1"/>
    <col min="9220" max="9220" width="10.42578125" style="1" hidden="1"/>
    <col min="9221" max="9221" width="14.28515625" style="1" hidden="1"/>
    <col min="9222" max="9223" width="13.28515625" style="1" hidden="1"/>
    <col min="9224" max="9224" width="12.140625" style="1" hidden="1"/>
    <col min="9225" max="9225" width="10.7109375" style="1" hidden="1"/>
    <col min="9226" max="9228" width="11.42578125" style="1" hidden="1"/>
    <col min="9229" max="9229" width="12" style="1" hidden="1"/>
    <col min="9230" max="9230" width="15.5703125" style="1" hidden="1"/>
    <col min="9231" max="9474" width="11.42578125" style="1" hidden="1"/>
    <col min="9475" max="9475" width="82.85546875" style="1" hidden="1"/>
    <col min="9476" max="9476" width="10.42578125" style="1" hidden="1"/>
    <col min="9477" max="9477" width="14.28515625" style="1" hidden="1"/>
    <col min="9478" max="9479" width="13.28515625" style="1" hidden="1"/>
    <col min="9480" max="9480" width="12.140625" style="1" hidden="1"/>
    <col min="9481" max="9481" width="10.7109375" style="1" hidden="1"/>
    <col min="9482" max="9484" width="11.42578125" style="1" hidden="1"/>
    <col min="9485" max="9485" width="12" style="1" hidden="1"/>
    <col min="9486" max="9486" width="15.5703125" style="1" hidden="1"/>
    <col min="9487" max="9730" width="11.42578125" style="1" hidden="1"/>
    <col min="9731" max="9731" width="82.85546875" style="1" hidden="1"/>
    <col min="9732" max="9732" width="10.42578125" style="1" hidden="1"/>
    <col min="9733" max="9733" width="14.28515625" style="1" hidden="1"/>
    <col min="9734" max="9735" width="13.28515625" style="1" hidden="1"/>
    <col min="9736" max="9736" width="12.140625" style="1" hidden="1"/>
    <col min="9737" max="9737" width="10.7109375" style="1" hidden="1"/>
    <col min="9738" max="9740" width="11.42578125" style="1" hidden="1"/>
    <col min="9741" max="9741" width="12" style="1" hidden="1"/>
    <col min="9742" max="9742" width="15.5703125" style="1" hidden="1"/>
    <col min="9743" max="9986" width="11.42578125" style="1" hidden="1"/>
    <col min="9987" max="9987" width="82.85546875" style="1" hidden="1"/>
    <col min="9988" max="9988" width="10.42578125" style="1" hidden="1"/>
    <col min="9989" max="9989" width="14.28515625" style="1" hidden="1"/>
    <col min="9990" max="9991" width="13.28515625" style="1" hidden="1"/>
    <col min="9992" max="9992" width="12.140625" style="1" hidden="1"/>
    <col min="9993" max="9993" width="10.7109375" style="1" hidden="1"/>
    <col min="9994" max="9996" width="11.42578125" style="1" hidden="1"/>
    <col min="9997" max="9997" width="12" style="1" hidden="1"/>
    <col min="9998" max="9998" width="15.5703125" style="1" hidden="1"/>
    <col min="9999" max="10242" width="11.42578125" style="1" hidden="1"/>
    <col min="10243" max="10243" width="82.85546875" style="1" hidden="1"/>
    <col min="10244" max="10244" width="10.42578125" style="1" hidden="1"/>
    <col min="10245" max="10245" width="14.28515625" style="1" hidden="1"/>
    <col min="10246" max="10247" width="13.28515625" style="1" hidden="1"/>
    <col min="10248" max="10248" width="12.140625" style="1" hidden="1"/>
    <col min="10249" max="10249" width="10.7109375" style="1" hidden="1"/>
    <col min="10250" max="10252" width="11.42578125" style="1" hidden="1"/>
    <col min="10253" max="10253" width="12" style="1" hidden="1"/>
    <col min="10254" max="10254" width="15.5703125" style="1" hidden="1"/>
    <col min="10255" max="10498" width="11.42578125" style="1" hidden="1"/>
    <col min="10499" max="10499" width="82.85546875" style="1" hidden="1"/>
    <col min="10500" max="10500" width="10.42578125" style="1" hidden="1"/>
    <col min="10501" max="10501" width="14.28515625" style="1" hidden="1"/>
    <col min="10502" max="10503" width="13.28515625" style="1" hidden="1"/>
    <col min="10504" max="10504" width="12.140625" style="1" hidden="1"/>
    <col min="10505" max="10505" width="10.7109375" style="1" hidden="1"/>
    <col min="10506" max="10508" width="11.42578125" style="1" hidden="1"/>
    <col min="10509" max="10509" width="12" style="1" hidden="1"/>
    <col min="10510" max="10510" width="15.5703125" style="1" hidden="1"/>
    <col min="10511" max="10754" width="11.42578125" style="1" hidden="1"/>
    <col min="10755" max="10755" width="82.85546875" style="1" hidden="1"/>
    <col min="10756" max="10756" width="10.42578125" style="1" hidden="1"/>
    <col min="10757" max="10757" width="14.28515625" style="1" hidden="1"/>
    <col min="10758" max="10759" width="13.28515625" style="1" hidden="1"/>
    <col min="10760" max="10760" width="12.140625" style="1" hidden="1"/>
    <col min="10761" max="10761" width="10.7109375" style="1" hidden="1"/>
    <col min="10762" max="10764" width="11.42578125" style="1" hidden="1"/>
    <col min="10765" max="10765" width="12" style="1" hidden="1"/>
    <col min="10766" max="10766" width="15.5703125" style="1" hidden="1"/>
    <col min="10767" max="11010" width="11.42578125" style="1" hidden="1"/>
    <col min="11011" max="11011" width="82.85546875" style="1" hidden="1"/>
    <col min="11012" max="11012" width="10.42578125" style="1" hidden="1"/>
    <col min="11013" max="11013" width="14.28515625" style="1" hidden="1"/>
    <col min="11014" max="11015" width="13.28515625" style="1" hidden="1"/>
    <col min="11016" max="11016" width="12.140625" style="1" hidden="1"/>
    <col min="11017" max="11017" width="10.7109375" style="1" hidden="1"/>
    <col min="11018" max="11020" width="11.42578125" style="1" hidden="1"/>
    <col min="11021" max="11021" width="12" style="1" hidden="1"/>
    <col min="11022" max="11022" width="15.5703125" style="1" hidden="1"/>
    <col min="11023" max="11266" width="11.42578125" style="1" hidden="1"/>
    <col min="11267" max="11267" width="82.85546875" style="1" hidden="1"/>
    <col min="11268" max="11268" width="10.42578125" style="1" hidden="1"/>
    <col min="11269" max="11269" width="14.28515625" style="1" hidden="1"/>
    <col min="11270" max="11271" width="13.28515625" style="1" hidden="1"/>
    <col min="11272" max="11272" width="12.140625" style="1" hidden="1"/>
    <col min="11273" max="11273" width="10.7109375" style="1" hidden="1"/>
    <col min="11274" max="11276" width="11.42578125" style="1" hidden="1"/>
    <col min="11277" max="11277" width="12" style="1" hidden="1"/>
    <col min="11278" max="11278" width="15.5703125" style="1" hidden="1"/>
    <col min="11279" max="11522" width="11.42578125" style="1" hidden="1"/>
    <col min="11523" max="11523" width="82.85546875" style="1" hidden="1"/>
    <col min="11524" max="11524" width="10.42578125" style="1" hidden="1"/>
    <col min="11525" max="11525" width="14.28515625" style="1" hidden="1"/>
    <col min="11526" max="11527" width="13.28515625" style="1" hidden="1"/>
    <col min="11528" max="11528" width="12.140625" style="1" hidden="1"/>
    <col min="11529" max="11529" width="10.7109375" style="1" hidden="1"/>
    <col min="11530" max="11532" width="11.42578125" style="1" hidden="1"/>
    <col min="11533" max="11533" width="12" style="1" hidden="1"/>
    <col min="11534" max="11534" width="15.5703125" style="1" hidden="1"/>
    <col min="11535" max="11778" width="11.42578125" style="1" hidden="1"/>
    <col min="11779" max="11779" width="82.85546875" style="1" hidden="1"/>
    <col min="11780" max="11780" width="10.42578125" style="1" hidden="1"/>
    <col min="11781" max="11781" width="14.28515625" style="1" hidden="1"/>
    <col min="11782" max="11783" width="13.28515625" style="1" hidden="1"/>
    <col min="11784" max="11784" width="12.140625" style="1" hidden="1"/>
    <col min="11785" max="11785" width="10.7109375" style="1" hidden="1"/>
    <col min="11786" max="11788" width="11.42578125" style="1" hidden="1"/>
    <col min="11789" max="11789" width="12" style="1" hidden="1"/>
    <col min="11790" max="11790" width="15.5703125" style="1" hidden="1"/>
    <col min="11791" max="12034" width="11.42578125" style="1" hidden="1"/>
    <col min="12035" max="12035" width="82.85546875" style="1" hidden="1"/>
    <col min="12036" max="12036" width="10.42578125" style="1" hidden="1"/>
    <col min="12037" max="12037" width="14.28515625" style="1" hidden="1"/>
    <col min="12038" max="12039" width="13.28515625" style="1" hidden="1"/>
    <col min="12040" max="12040" width="12.140625" style="1" hidden="1"/>
    <col min="12041" max="12041" width="10.7109375" style="1" hidden="1"/>
    <col min="12042" max="12044" width="11.42578125" style="1" hidden="1"/>
    <col min="12045" max="12045" width="12" style="1" hidden="1"/>
    <col min="12046" max="12046" width="15.5703125" style="1" hidden="1"/>
    <col min="12047" max="12290" width="11.42578125" style="1" hidden="1"/>
    <col min="12291" max="12291" width="82.85546875" style="1" hidden="1"/>
    <col min="12292" max="12292" width="10.42578125" style="1" hidden="1"/>
    <col min="12293" max="12293" width="14.28515625" style="1" hidden="1"/>
    <col min="12294" max="12295" width="13.28515625" style="1" hidden="1"/>
    <col min="12296" max="12296" width="12.140625" style="1" hidden="1"/>
    <col min="12297" max="12297" width="10.7109375" style="1" hidden="1"/>
    <col min="12298" max="12300" width="11.42578125" style="1" hidden="1"/>
    <col min="12301" max="12301" width="12" style="1" hidden="1"/>
    <col min="12302" max="12302" width="15.5703125" style="1" hidden="1"/>
    <col min="12303" max="12546" width="11.42578125" style="1" hidden="1"/>
    <col min="12547" max="12547" width="82.85546875" style="1" hidden="1"/>
    <col min="12548" max="12548" width="10.42578125" style="1" hidden="1"/>
    <col min="12549" max="12549" width="14.28515625" style="1" hidden="1"/>
    <col min="12550" max="12551" width="13.28515625" style="1" hidden="1"/>
    <col min="12552" max="12552" width="12.140625" style="1" hidden="1"/>
    <col min="12553" max="12553" width="10.7109375" style="1" hidden="1"/>
    <col min="12554" max="12556" width="11.42578125" style="1" hidden="1"/>
    <col min="12557" max="12557" width="12" style="1" hidden="1"/>
    <col min="12558" max="12558" width="15.5703125" style="1" hidden="1"/>
    <col min="12559" max="12802" width="11.42578125" style="1" hidden="1"/>
    <col min="12803" max="12803" width="82.85546875" style="1" hidden="1"/>
    <col min="12804" max="12804" width="10.42578125" style="1" hidden="1"/>
    <col min="12805" max="12805" width="14.28515625" style="1" hidden="1"/>
    <col min="12806" max="12807" width="13.28515625" style="1" hidden="1"/>
    <col min="12808" max="12808" width="12.140625" style="1" hidden="1"/>
    <col min="12809" max="12809" width="10.7109375" style="1" hidden="1"/>
    <col min="12810" max="12812" width="11.42578125" style="1" hidden="1"/>
    <col min="12813" max="12813" width="12" style="1" hidden="1"/>
    <col min="12814" max="12814" width="15.5703125" style="1" hidden="1"/>
    <col min="12815" max="13058" width="11.42578125" style="1" hidden="1"/>
    <col min="13059" max="13059" width="82.85546875" style="1" hidden="1"/>
    <col min="13060" max="13060" width="10.42578125" style="1" hidden="1"/>
    <col min="13061" max="13061" width="14.28515625" style="1" hidden="1"/>
    <col min="13062" max="13063" width="13.28515625" style="1" hidden="1"/>
    <col min="13064" max="13064" width="12.140625" style="1" hidden="1"/>
    <col min="13065" max="13065" width="10.7109375" style="1" hidden="1"/>
    <col min="13066" max="13068" width="11.42578125" style="1" hidden="1"/>
    <col min="13069" max="13069" width="12" style="1" hidden="1"/>
    <col min="13070" max="13070" width="15.5703125" style="1" hidden="1"/>
    <col min="13071" max="13314" width="11.42578125" style="1" hidden="1"/>
    <col min="13315" max="13315" width="82.85546875" style="1" hidden="1"/>
    <col min="13316" max="13316" width="10.42578125" style="1" hidden="1"/>
    <col min="13317" max="13317" width="14.28515625" style="1" hidden="1"/>
    <col min="13318" max="13319" width="13.28515625" style="1" hidden="1"/>
    <col min="13320" max="13320" width="12.140625" style="1" hidden="1"/>
    <col min="13321" max="13321" width="10.7109375" style="1" hidden="1"/>
    <col min="13322" max="13324" width="11.42578125" style="1" hidden="1"/>
    <col min="13325" max="13325" width="12" style="1" hidden="1"/>
    <col min="13326" max="13326" width="15.5703125" style="1" hidden="1"/>
    <col min="13327" max="13570" width="11.42578125" style="1" hidden="1"/>
    <col min="13571" max="13571" width="82.85546875" style="1" hidden="1"/>
    <col min="13572" max="13572" width="10.42578125" style="1" hidden="1"/>
    <col min="13573" max="13573" width="14.28515625" style="1" hidden="1"/>
    <col min="13574" max="13575" width="13.28515625" style="1" hidden="1"/>
    <col min="13576" max="13576" width="12.140625" style="1" hidden="1"/>
    <col min="13577" max="13577" width="10.7109375" style="1" hidden="1"/>
    <col min="13578" max="13580" width="11.42578125" style="1" hidden="1"/>
    <col min="13581" max="13581" width="12" style="1" hidden="1"/>
    <col min="13582" max="13582" width="15.5703125" style="1" hidden="1"/>
    <col min="13583" max="13826" width="11.42578125" style="1" hidden="1"/>
    <col min="13827" max="13827" width="82.85546875" style="1" hidden="1"/>
    <col min="13828" max="13828" width="10.42578125" style="1" hidden="1"/>
    <col min="13829" max="13829" width="14.28515625" style="1" hidden="1"/>
    <col min="13830" max="13831" width="13.28515625" style="1" hidden="1"/>
    <col min="13832" max="13832" width="12.140625" style="1" hidden="1"/>
    <col min="13833" max="13833" width="10.7109375" style="1" hidden="1"/>
    <col min="13834" max="13836" width="11.42578125" style="1" hidden="1"/>
    <col min="13837" max="13837" width="12" style="1" hidden="1"/>
    <col min="13838" max="13838" width="15.5703125" style="1" hidden="1"/>
    <col min="13839" max="14082" width="11.42578125" style="1" hidden="1"/>
    <col min="14083" max="14083" width="82.85546875" style="1" hidden="1"/>
    <col min="14084" max="14084" width="10.42578125" style="1" hidden="1"/>
    <col min="14085" max="14085" width="14.28515625" style="1" hidden="1"/>
    <col min="14086" max="14087" width="13.28515625" style="1" hidden="1"/>
    <col min="14088" max="14088" width="12.140625" style="1" hidden="1"/>
    <col min="14089" max="14089" width="10.7109375" style="1" hidden="1"/>
    <col min="14090" max="14092" width="11.42578125" style="1" hidden="1"/>
    <col min="14093" max="14093" width="12" style="1" hidden="1"/>
    <col min="14094" max="14094" width="15.5703125" style="1" hidden="1"/>
    <col min="14095" max="14338" width="11.42578125" style="1" hidden="1"/>
    <col min="14339" max="14339" width="82.85546875" style="1" hidden="1"/>
    <col min="14340" max="14340" width="10.42578125" style="1" hidden="1"/>
    <col min="14341" max="14341" width="14.28515625" style="1" hidden="1"/>
    <col min="14342" max="14343" width="13.28515625" style="1" hidden="1"/>
    <col min="14344" max="14344" width="12.140625" style="1" hidden="1"/>
    <col min="14345" max="14345" width="10.7109375" style="1" hidden="1"/>
    <col min="14346" max="14348" width="11.42578125" style="1" hidden="1"/>
    <col min="14349" max="14349" width="12" style="1" hidden="1"/>
    <col min="14350" max="14350" width="15.5703125" style="1" hidden="1"/>
    <col min="14351" max="14594" width="11.42578125" style="1" hidden="1"/>
    <col min="14595" max="14595" width="82.85546875" style="1" hidden="1"/>
    <col min="14596" max="14596" width="10.42578125" style="1" hidden="1"/>
    <col min="14597" max="14597" width="14.28515625" style="1" hidden="1"/>
    <col min="14598" max="14599" width="13.28515625" style="1" hidden="1"/>
    <col min="14600" max="14600" width="12.140625" style="1" hidden="1"/>
    <col min="14601" max="14601" width="10.7109375" style="1" hidden="1"/>
    <col min="14602" max="14604" width="11.42578125" style="1" hidden="1"/>
    <col min="14605" max="14605" width="12" style="1" hidden="1"/>
    <col min="14606" max="14606" width="15.5703125" style="1" hidden="1"/>
    <col min="14607" max="14850" width="11.42578125" style="1" hidden="1"/>
    <col min="14851" max="14851" width="82.85546875" style="1" hidden="1"/>
    <col min="14852" max="14852" width="10.42578125" style="1" hidden="1"/>
    <col min="14853" max="14853" width="14.28515625" style="1" hidden="1"/>
    <col min="14854" max="14855" width="13.28515625" style="1" hidden="1"/>
    <col min="14856" max="14856" width="12.140625" style="1" hidden="1"/>
    <col min="14857" max="14857" width="10.7109375" style="1" hidden="1"/>
    <col min="14858" max="14860" width="11.42578125" style="1" hidden="1"/>
    <col min="14861" max="14861" width="12" style="1" hidden="1"/>
    <col min="14862" max="14862" width="15.5703125" style="1" hidden="1"/>
    <col min="14863" max="15106" width="11.42578125" style="1" hidden="1"/>
    <col min="15107" max="15107" width="82.85546875" style="1" hidden="1"/>
    <col min="15108" max="15108" width="10.42578125" style="1" hidden="1"/>
    <col min="15109" max="15109" width="14.28515625" style="1" hidden="1"/>
    <col min="15110" max="15111" width="13.28515625" style="1" hidden="1"/>
    <col min="15112" max="15112" width="12.140625" style="1" hidden="1"/>
    <col min="15113" max="15113" width="10.7109375" style="1" hidden="1"/>
    <col min="15114" max="15116" width="11.42578125" style="1" hidden="1"/>
    <col min="15117" max="15117" width="12" style="1" hidden="1"/>
    <col min="15118" max="15118" width="15.5703125" style="1" hidden="1"/>
    <col min="15119" max="15362" width="11.42578125" style="1" hidden="1"/>
    <col min="15363" max="15363" width="82.85546875" style="1" hidden="1"/>
    <col min="15364" max="15364" width="10.42578125" style="1" hidden="1"/>
    <col min="15365" max="15365" width="14.28515625" style="1" hidden="1"/>
    <col min="15366" max="15367" width="13.28515625" style="1" hidden="1"/>
    <col min="15368" max="15368" width="12.140625" style="1" hidden="1"/>
    <col min="15369" max="15369" width="10.7109375" style="1" hidden="1"/>
    <col min="15370" max="15372" width="11.42578125" style="1" hidden="1"/>
    <col min="15373" max="15373" width="12" style="1" hidden="1"/>
    <col min="15374" max="15374" width="15.5703125" style="1" hidden="1"/>
    <col min="15375" max="15618" width="11.42578125" style="1" hidden="1"/>
    <col min="15619" max="15619" width="82.85546875" style="1" hidden="1"/>
    <col min="15620" max="15620" width="10.42578125" style="1" hidden="1"/>
    <col min="15621" max="15621" width="14.28515625" style="1" hidden="1"/>
    <col min="15622" max="15623" width="13.28515625" style="1" hidden="1"/>
    <col min="15624" max="15624" width="12.140625" style="1" hidden="1"/>
    <col min="15625" max="15625" width="10.7109375" style="1" hidden="1"/>
    <col min="15626" max="15628" width="11.42578125" style="1" hidden="1"/>
    <col min="15629" max="15629" width="12" style="1" hidden="1"/>
    <col min="15630" max="15630" width="15.5703125" style="1" hidden="1"/>
    <col min="15631" max="15874" width="11.42578125" style="1" hidden="1"/>
    <col min="15875" max="15875" width="82.85546875" style="1" hidden="1"/>
    <col min="15876" max="15876" width="10.42578125" style="1" hidden="1"/>
    <col min="15877" max="15877" width="14.28515625" style="1" hidden="1"/>
    <col min="15878" max="15879" width="13.28515625" style="1" hidden="1"/>
    <col min="15880" max="15880" width="12.140625" style="1" hidden="1"/>
    <col min="15881" max="15881" width="10.7109375" style="1" hidden="1"/>
    <col min="15882" max="15884" width="11.42578125" style="1" hidden="1"/>
    <col min="15885" max="15885" width="12" style="1" hidden="1"/>
    <col min="15886" max="15886" width="15.5703125" style="1" hidden="1"/>
    <col min="15887" max="16130" width="11.42578125" style="1" hidden="1"/>
    <col min="16131" max="16131" width="82.85546875" style="1" hidden="1"/>
    <col min="16132" max="16132" width="10.42578125" style="1" hidden="1"/>
    <col min="16133" max="16133" width="14.28515625" style="1" hidden="1"/>
    <col min="16134" max="16135" width="13.28515625" style="1" hidden="1"/>
    <col min="16136" max="16136" width="12.140625" style="1" hidden="1"/>
    <col min="16137" max="16137" width="10.7109375" style="1" hidden="1"/>
    <col min="16138" max="16140" width="11.42578125" style="1" hidden="1"/>
    <col min="16141" max="16141" width="12" style="1" hidden="1"/>
    <col min="16142" max="16142" width="15.5703125" style="1" hidden="1"/>
    <col min="16143" max="16384" width="11.42578125" style="1" hidden="1"/>
  </cols>
  <sheetData>
    <row r="1" spans="1:14" ht="15.75" x14ac:dyDescent="0.25">
      <c r="A1" s="501" t="s">
        <v>48</v>
      </c>
      <c r="B1" s="502"/>
      <c r="C1" s="502"/>
      <c r="D1" s="16"/>
      <c r="J1" s="6" t="s">
        <v>13</v>
      </c>
    </row>
    <row r="2" spans="1:14" ht="15.75" x14ac:dyDescent="0.25">
      <c r="A2" s="503" t="s">
        <v>59</v>
      </c>
      <c r="B2" s="503"/>
      <c r="C2" s="503"/>
      <c r="D2" s="16"/>
      <c r="J2" s="6" t="s">
        <v>12</v>
      </c>
    </row>
    <row r="3" spans="1:14" ht="6" customHeight="1" x14ac:dyDescent="0.2">
      <c r="A3" s="16"/>
      <c r="B3" s="16"/>
      <c r="C3" s="16"/>
      <c r="D3" s="16"/>
      <c r="J3" s="1">
        <v>0</v>
      </c>
    </row>
    <row r="4" spans="1:14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x14ac:dyDescent="0.2">
      <c r="A5" s="48" t="s">
        <v>51</v>
      </c>
      <c r="B5" s="7"/>
      <c r="C5" s="18">
        <v>5550</v>
      </c>
      <c r="D5" s="16"/>
      <c r="J5" s="1">
        <v>2</v>
      </c>
    </row>
    <row r="6" spans="1:14" x14ac:dyDescent="0.2">
      <c r="A6" s="49" t="s">
        <v>36</v>
      </c>
      <c r="B6" s="81">
        <f>+DatosIRPF!B6</f>
        <v>60.722792607802873</v>
      </c>
      <c r="C6" s="50">
        <f>IF(AND(B6&gt;65,B6&lt;75),918,IF(B6&gt;75,918+2040,0))</f>
        <v>0</v>
      </c>
      <c r="D6" s="16"/>
      <c r="E6" s="6"/>
      <c r="F6" s="6"/>
      <c r="G6" s="6"/>
      <c r="H6" s="6"/>
      <c r="I6" s="6"/>
      <c r="J6" s="1">
        <v>3</v>
      </c>
      <c r="K6" s="6"/>
      <c r="L6" s="6"/>
      <c r="M6" s="6"/>
      <c r="N6" s="11"/>
    </row>
    <row r="7" spans="1:14" x14ac:dyDescent="0.2">
      <c r="A7" s="49" t="s">
        <v>47</v>
      </c>
      <c r="B7" s="13" t="str">
        <f>+DatosIRPF!B7</f>
        <v>NO</v>
      </c>
      <c r="C7" s="50">
        <f>IF(B7="si",3246,0)</f>
        <v>0</v>
      </c>
      <c r="D7" s="16"/>
      <c r="E7" s="6"/>
      <c r="F7" s="6"/>
      <c r="G7" s="6"/>
      <c r="H7" s="6"/>
      <c r="I7" s="6"/>
      <c r="J7" s="1">
        <v>4</v>
      </c>
      <c r="K7" s="6"/>
      <c r="L7" s="6"/>
      <c r="M7" s="6"/>
      <c r="N7" s="11"/>
    </row>
    <row r="8" spans="1:14" x14ac:dyDescent="0.2">
      <c r="A8" s="49" t="s">
        <v>37</v>
      </c>
      <c r="B8" s="13" t="str">
        <f>+DatosIRPF!B8</f>
        <v>NO</v>
      </c>
      <c r="C8" s="50">
        <f>IF(B8="si",7242,0)</f>
        <v>0</v>
      </c>
      <c r="D8" s="16"/>
      <c r="E8" s="6"/>
      <c r="F8" s="6"/>
      <c r="G8" s="6"/>
      <c r="H8" s="6"/>
      <c r="I8" s="6"/>
      <c r="J8" s="1">
        <v>5</v>
      </c>
      <c r="K8" s="6"/>
      <c r="L8" s="6"/>
      <c r="M8" s="6"/>
      <c r="N8" s="11"/>
    </row>
    <row r="9" spans="1:14" ht="5.25" customHeight="1" x14ac:dyDescent="0.2">
      <c r="A9" s="16"/>
      <c r="B9" s="16"/>
      <c r="C9" s="16"/>
      <c r="D9" s="16"/>
      <c r="E9" s="6"/>
      <c r="F9" s="6"/>
      <c r="G9" s="6"/>
      <c r="H9" s="6"/>
      <c r="I9" s="6"/>
      <c r="J9" s="1">
        <v>6</v>
      </c>
      <c r="K9" s="6"/>
      <c r="L9" s="6"/>
      <c r="M9" s="6"/>
      <c r="N9" s="11"/>
    </row>
    <row r="10" spans="1:14" x14ac:dyDescent="0.2">
      <c r="A10" s="500" t="s">
        <v>64</v>
      </c>
      <c r="B10" s="500"/>
      <c r="C10" s="16"/>
      <c r="D10" s="16"/>
      <c r="E10" s="6"/>
      <c r="F10" s="6"/>
      <c r="G10" s="6"/>
      <c r="H10" s="6"/>
      <c r="I10" s="6"/>
      <c r="J10" s="1">
        <v>7</v>
      </c>
      <c r="K10" s="6"/>
      <c r="L10" s="6"/>
      <c r="M10" s="6"/>
      <c r="N10" s="11"/>
    </row>
    <row r="11" spans="1:14" ht="13.5" thickBot="1" x14ac:dyDescent="0.25">
      <c r="A11" s="49" t="s">
        <v>38</v>
      </c>
      <c r="B11" s="51" t="str">
        <f>+DatosIRPF!B11</f>
        <v>NO</v>
      </c>
      <c r="C11" s="16"/>
      <c r="D11" s="16"/>
      <c r="E11" s="6"/>
      <c r="F11" s="6"/>
      <c r="G11" s="6"/>
      <c r="H11" s="6"/>
      <c r="I11" s="6"/>
      <c r="J11" s="1">
        <v>8</v>
      </c>
      <c r="K11" s="6"/>
      <c r="L11" s="6"/>
    </row>
    <row r="12" spans="1:14" x14ac:dyDescent="0.2">
      <c r="A12" s="49" t="s">
        <v>39</v>
      </c>
      <c r="B12" s="51">
        <f>+DatosIRPF!B12</f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F12" s="513"/>
      <c r="G12" s="514"/>
      <c r="H12" s="515"/>
      <c r="I12" s="6"/>
      <c r="K12" s="6"/>
      <c r="L12" s="6"/>
    </row>
    <row r="13" spans="1:14" ht="13.5" thickBot="1" x14ac:dyDescent="0.25">
      <c r="A13" s="49" t="s">
        <v>40</v>
      </c>
      <c r="B13" s="51">
        <f>+DatosIRPF!B13</f>
        <v>0</v>
      </c>
      <c r="C13" s="50">
        <f>IF(B11="NO",+B13*2800/2,+B13*2800)</f>
        <v>0</v>
      </c>
      <c r="D13" s="16"/>
      <c r="E13" s="52"/>
      <c r="F13" s="53"/>
      <c r="G13" s="54"/>
      <c r="H13" s="55"/>
      <c r="I13" s="6"/>
      <c r="K13" s="6"/>
      <c r="L13" s="6"/>
    </row>
    <row r="14" spans="1:14" x14ac:dyDescent="0.2">
      <c r="A14" s="56" t="s">
        <v>41</v>
      </c>
      <c r="B14" s="51">
        <f>+DatosIRPF!B14</f>
        <v>0</v>
      </c>
      <c r="C14" s="50">
        <f>IF(B11="NO",(B14*2316*1.29)/2,(B14*2316*1.29))</f>
        <v>0</v>
      </c>
      <c r="D14" s="16"/>
      <c r="E14" s="52"/>
      <c r="F14" s="57"/>
      <c r="G14" s="58"/>
      <c r="H14" s="59"/>
      <c r="I14" s="6"/>
      <c r="K14" s="6"/>
      <c r="L14" s="6"/>
    </row>
    <row r="15" spans="1:14" x14ac:dyDescent="0.2">
      <c r="A15" s="56" t="s">
        <v>42</v>
      </c>
      <c r="B15" s="51">
        <f>+DatosIRPF!B15</f>
        <v>0</v>
      </c>
      <c r="C15" s="50">
        <f>IF(B11="NO",(B15*7038*1.29)/2,(B15*7038*1.29))</f>
        <v>0</v>
      </c>
      <c r="D15" s="16"/>
      <c r="E15" s="52"/>
      <c r="F15" s="60"/>
      <c r="G15" s="61"/>
      <c r="H15" s="62"/>
      <c r="I15" s="6"/>
      <c r="K15" s="6"/>
      <c r="L15" s="6"/>
    </row>
    <row r="16" spans="1:14" ht="4.5" customHeight="1" x14ac:dyDescent="0.2">
      <c r="A16" s="17"/>
      <c r="B16" s="17"/>
      <c r="C16" s="17"/>
      <c r="D16" s="16"/>
      <c r="E16" s="52"/>
      <c r="F16" s="60"/>
      <c r="G16" s="61"/>
      <c r="H16" s="62"/>
      <c r="I16" s="6"/>
      <c r="K16" s="6"/>
      <c r="L16" s="6"/>
    </row>
    <row r="17" spans="1:12" x14ac:dyDescent="0.2">
      <c r="A17" s="500" t="s">
        <v>65</v>
      </c>
      <c r="B17" s="500"/>
      <c r="C17" s="17"/>
      <c r="D17" s="16"/>
      <c r="E17" s="52"/>
      <c r="F17" s="60"/>
      <c r="G17" s="61"/>
      <c r="H17" s="62"/>
      <c r="I17" s="6"/>
      <c r="K17" s="6"/>
      <c r="L17" s="6"/>
    </row>
    <row r="18" spans="1:12" ht="13.5" thickBot="1" x14ac:dyDescent="0.25">
      <c r="A18" s="8" t="s">
        <v>67</v>
      </c>
      <c r="B18" s="13">
        <f>+DatosIRPF!B18</f>
        <v>1</v>
      </c>
      <c r="C18" s="17"/>
      <c r="D18" s="16"/>
      <c r="E18" s="52"/>
      <c r="F18" s="63"/>
      <c r="G18" s="64"/>
      <c r="H18" s="65"/>
      <c r="I18" s="6"/>
      <c r="K18" s="6"/>
      <c r="L18" s="6"/>
    </row>
    <row r="19" spans="1:12" x14ac:dyDescent="0.2">
      <c r="A19" s="49" t="s">
        <v>43</v>
      </c>
      <c r="B19" s="13">
        <f>+DatosIRPF!B19</f>
        <v>0</v>
      </c>
      <c r="C19" s="499">
        <f>((+B19*1150)+(B20*(1150+1400)))/B18</f>
        <v>0</v>
      </c>
      <c r="D19" s="16"/>
      <c r="E19" s="52"/>
      <c r="F19" s="52"/>
      <c r="G19" s="52"/>
      <c r="H19" s="52"/>
      <c r="I19" s="6"/>
      <c r="K19" s="6"/>
      <c r="L19" s="6"/>
    </row>
    <row r="20" spans="1:12" ht="13.5" thickBot="1" x14ac:dyDescent="0.25">
      <c r="A20" s="49" t="s">
        <v>44</v>
      </c>
      <c r="B20" s="13">
        <f>+DatosIRPF!B20</f>
        <v>0</v>
      </c>
      <c r="C20" s="499"/>
      <c r="D20" s="16"/>
      <c r="E20" s="52"/>
      <c r="F20" s="52"/>
      <c r="G20" s="52"/>
      <c r="H20" s="52"/>
      <c r="I20" s="6"/>
      <c r="K20" s="6"/>
      <c r="L20" s="6"/>
    </row>
    <row r="21" spans="1:12" ht="13.5" thickBot="1" x14ac:dyDescent="0.25">
      <c r="A21" s="56" t="s">
        <v>45</v>
      </c>
      <c r="B21" s="13">
        <f>+DatosIRPF!B21</f>
        <v>0</v>
      </c>
      <c r="C21" s="18">
        <f>(B21*3000)/B18</f>
        <v>0</v>
      </c>
      <c r="D21" s="16"/>
      <c r="E21" s="52"/>
      <c r="F21" s="516"/>
      <c r="G21" s="517"/>
      <c r="H21" s="52"/>
      <c r="I21" s="6"/>
      <c r="K21" s="6"/>
      <c r="L21" s="6"/>
    </row>
    <row r="22" spans="1:12" x14ac:dyDescent="0.2">
      <c r="A22" s="56" t="s">
        <v>46</v>
      </c>
      <c r="B22" s="13">
        <f>+DatosIRPF!B22</f>
        <v>0</v>
      </c>
      <c r="C22" s="18">
        <f>+(B22*9000)/B18</f>
        <v>0</v>
      </c>
      <c r="D22" s="16"/>
      <c r="E22" s="52"/>
      <c r="F22" s="66"/>
      <c r="G22" s="67"/>
      <c r="H22" s="52"/>
      <c r="I22" s="6"/>
      <c r="K22" s="6"/>
      <c r="L22" s="6"/>
    </row>
    <row r="23" spans="1:12" x14ac:dyDescent="0.2">
      <c r="A23" s="16"/>
      <c r="B23" s="16"/>
      <c r="C23" s="16"/>
      <c r="D23" s="16"/>
      <c r="E23" s="52"/>
      <c r="F23" s="68"/>
      <c r="G23" s="69"/>
      <c r="H23" s="52"/>
      <c r="I23" s="6"/>
      <c r="K23" s="6"/>
      <c r="L23" s="6"/>
    </row>
    <row r="24" spans="1:12" x14ac:dyDescent="0.2">
      <c r="A24" s="500" t="s">
        <v>53</v>
      </c>
      <c r="B24" s="500"/>
      <c r="C24" s="16"/>
      <c r="D24" s="16"/>
      <c r="E24" s="52"/>
      <c r="F24" s="68"/>
      <c r="G24" s="69"/>
      <c r="H24" s="52"/>
      <c r="I24" s="6"/>
      <c r="J24" s="1">
        <v>8</v>
      </c>
      <c r="K24" s="6"/>
      <c r="L24" s="6"/>
    </row>
    <row r="25" spans="1:12" x14ac:dyDescent="0.2">
      <c r="A25" s="70" t="s">
        <v>35</v>
      </c>
      <c r="B25" s="5">
        <f>+RESULTADO!D47</f>
        <v>33498.68</v>
      </c>
      <c r="C25" s="16"/>
      <c r="D25" s="16"/>
      <c r="E25" s="52"/>
      <c r="F25" s="68"/>
      <c r="G25" s="69"/>
      <c r="H25" s="52"/>
      <c r="I25" s="6"/>
      <c r="K25" s="6"/>
      <c r="L25" s="6"/>
    </row>
    <row r="26" spans="1:12" x14ac:dyDescent="0.2">
      <c r="A26" s="16"/>
      <c r="B26" s="16"/>
      <c r="C26" s="16"/>
      <c r="D26" s="16"/>
      <c r="E26" s="52"/>
      <c r="F26" s="68"/>
      <c r="G26" s="69"/>
      <c r="H26" s="71"/>
    </row>
    <row r="27" spans="1:12" ht="13.5" thickBot="1" x14ac:dyDescent="0.25">
      <c r="A27" s="500" t="s">
        <v>55</v>
      </c>
      <c r="B27" s="500"/>
      <c r="C27" s="16"/>
      <c r="D27" s="16"/>
      <c r="E27" s="52"/>
      <c r="F27" s="72"/>
      <c r="G27" s="73"/>
      <c r="H27" s="52"/>
    </row>
    <row r="28" spans="1:12" x14ac:dyDescent="0.2">
      <c r="A28" s="48" t="s">
        <v>52</v>
      </c>
      <c r="B28" s="19">
        <v>2000</v>
      </c>
      <c r="C28" s="16"/>
      <c r="D28" s="16"/>
      <c r="E28" s="52"/>
      <c r="F28" s="52"/>
      <c r="G28" s="52"/>
      <c r="H28" s="52"/>
    </row>
    <row r="29" spans="1:12" ht="13.5" thickBot="1" x14ac:dyDescent="0.25">
      <c r="A29" s="48" t="s">
        <v>104</v>
      </c>
      <c r="B29" s="19">
        <v>600</v>
      </c>
      <c r="C29" s="16"/>
      <c r="D29" s="16"/>
      <c r="E29" s="52"/>
      <c r="F29" s="52"/>
      <c r="G29" s="52"/>
      <c r="H29" s="52"/>
    </row>
    <row r="30" spans="1:12" ht="13.5" thickBot="1" x14ac:dyDescent="0.25">
      <c r="A30" s="49" t="s">
        <v>47</v>
      </c>
      <c r="B30" s="18"/>
      <c r="C30" s="16"/>
      <c r="D30" s="16"/>
      <c r="E30" s="52"/>
      <c r="F30" s="516"/>
      <c r="G30" s="517"/>
      <c r="H30" s="52"/>
    </row>
    <row r="31" spans="1:12" x14ac:dyDescent="0.2">
      <c r="A31" s="49" t="s">
        <v>37</v>
      </c>
      <c r="B31" s="18"/>
      <c r="C31" s="16"/>
      <c r="D31" s="16"/>
      <c r="E31" s="52"/>
      <c r="F31" s="66"/>
      <c r="G31" s="67"/>
      <c r="H31" s="52"/>
    </row>
    <row r="32" spans="1:12" x14ac:dyDescent="0.2">
      <c r="A32" s="56" t="s">
        <v>66</v>
      </c>
      <c r="B32" s="19">
        <f>IF(B12&gt;2,600,0)</f>
        <v>0</v>
      </c>
      <c r="C32" s="16"/>
      <c r="D32" s="16"/>
      <c r="E32" s="52"/>
      <c r="F32" s="68"/>
      <c r="G32" s="69"/>
      <c r="H32" s="52"/>
    </row>
    <row r="33" spans="1:8" x14ac:dyDescent="0.2">
      <c r="A33" s="48"/>
      <c r="B33" s="19"/>
      <c r="C33" s="16"/>
      <c r="D33" s="16"/>
      <c r="E33" s="52"/>
      <c r="F33" s="68"/>
      <c r="G33" s="69"/>
      <c r="H33" s="74"/>
    </row>
    <row r="34" spans="1:8" x14ac:dyDescent="0.2">
      <c r="A34" s="12" t="s">
        <v>54</v>
      </c>
      <c r="B34" s="19">
        <f>+B25-B29-B28-B30-B31-B32-B33</f>
        <v>30898.68</v>
      </c>
      <c r="C34" s="5">
        <f>SUM(C5:C33)</f>
        <v>5550</v>
      </c>
      <c r="D34" s="16"/>
      <c r="E34" s="52"/>
      <c r="F34" s="68"/>
      <c r="G34" s="69"/>
      <c r="H34" s="71"/>
    </row>
    <row r="35" spans="1:8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7435.1039999999994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  <c r="F35" s="68"/>
      <c r="G35" s="69"/>
      <c r="H35" s="71"/>
    </row>
    <row r="36" spans="1:8" ht="13.5" thickBot="1" x14ac:dyDescent="0.25">
      <c r="A36" s="12" t="s">
        <v>57</v>
      </c>
      <c r="B36" s="19">
        <f>+B35-C35</f>
        <v>6380.6039999999994</v>
      </c>
      <c r="C36" s="16"/>
      <c r="D36" s="16"/>
      <c r="E36" s="52"/>
      <c r="F36" s="72"/>
      <c r="G36" s="73"/>
      <c r="H36" s="71"/>
    </row>
    <row r="37" spans="1:8" x14ac:dyDescent="0.2">
      <c r="A37" s="12" t="s">
        <v>58</v>
      </c>
      <c r="B37" s="75">
        <f>+B36/B25</f>
        <v>0.19047329626122581</v>
      </c>
      <c r="C37" s="16"/>
      <c r="D37" s="16"/>
      <c r="E37" s="52"/>
      <c r="F37" s="52"/>
      <c r="G37" s="52"/>
      <c r="H37" s="71"/>
    </row>
    <row r="38" spans="1:8" ht="13.5" thickBot="1" x14ac:dyDescent="0.25">
      <c r="A38" s="16"/>
      <c r="B38" s="16"/>
      <c r="C38" s="16"/>
      <c r="D38" s="16"/>
      <c r="E38" s="52"/>
      <c r="F38" s="52"/>
      <c r="G38" s="52"/>
      <c r="H38" s="71"/>
    </row>
    <row r="39" spans="1:8" ht="13.5" thickBot="1" x14ac:dyDescent="0.25">
      <c r="E39" s="52"/>
      <c r="F39" s="518"/>
      <c r="G39" s="519"/>
      <c r="H39" s="76"/>
    </row>
    <row r="40" spans="1:8" ht="13.5" thickBot="1" x14ac:dyDescent="0.25">
      <c r="E40" s="77"/>
      <c r="F40" s="78"/>
      <c r="G40" s="79"/>
      <c r="H40" s="80"/>
    </row>
  </sheetData>
  <sheetProtection sheet="1"/>
  <mergeCells count="12">
    <mergeCell ref="F39:G39"/>
    <mergeCell ref="A1:C1"/>
    <mergeCell ref="A2:C2"/>
    <mergeCell ref="A4:B4"/>
    <mergeCell ref="A10:B10"/>
    <mergeCell ref="F12:H12"/>
    <mergeCell ref="A17:B17"/>
    <mergeCell ref="C19:C20"/>
    <mergeCell ref="F21:G21"/>
    <mergeCell ref="A24:B24"/>
    <mergeCell ref="A27:B27"/>
    <mergeCell ref="F30:G30"/>
  </mergeCells>
  <dataValidations count="2">
    <dataValidation type="list" allowBlank="1" showInputMessage="1" showErrorMessage="1" sqref="B11:B15" xr:uid="{00000000-0002-0000-0900-000000000000}">
      <formula1>$J$1:$J$2</formula1>
    </dataValidation>
    <dataValidation type="list" allowBlank="1" showInputMessage="1" showErrorMessage="1" sqref="B18:B22" xr:uid="{00000000-0002-0000-0900-000001000000}">
      <formula1>$J$4:$J$10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+Retribuciones!AI13</f>
        <v>37639.825362999996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+(+Retribuciones!Y13+Retribuciones!Z13)*14</f>
        <v>1788.78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33851.045362999997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8320.8136089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7266.3136089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0.19304854735173127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password="DF4C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+Retribuciones!AI12</f>
        <v>39025.109199999999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+(Retribuciones!Y13+Retribuciones!Z13)*14</f>
        <v>1788.78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35236.3292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8738.941804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7684.441804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0.19691019350177758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password="DF4C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+Retribuciones!AI11</f>
        <v>39078.766399999993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+(Retribuciones!Y13+Retribuciones!Z13)*14</f>
        <v>1788.78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35289.986399999994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8758.7949679999983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7704.2949679999983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0.19714785490260511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password="DF4C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+Retribuciones!AI9</f>
        <v>46728.384000000005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+(Retribuciones!Y9+Retribuciones!Z9)*14</f>
        <v>2272.9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42455.484000000004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11410.029080000002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10355.529080000002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0.22161111071163944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+Retribuciones!AI5</f>
        <v>49451.076799999995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+(Retribuciones!Y5+Retribuciones!Z5)*14</f>
        <v>2272.9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45178.176799999994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12417.425415999998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11362.925415999998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0.22978115242982938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+Retribuciones!AI4</f>
        <v>60366.682400000005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+(Retribuciones!Y4+Retribuciones!Z4)*14</f>
        <v>2272.9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56093.782400000004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16456.199488000002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15401.699488000002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0.25513576157698542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algorithmName="SHA-512" hashValue="QEJCGF0OUxrUSJG/U101XU8Q8ZsshtJD26RYzF7BF+Kr/h8TJwyw5EEKublwe4Ev5DSqaNq9zXZhyXOT4NzwDA==" saltValue="PxFuRHmCeEz5oxuRDB2tjg==" spinCount="100000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4"/>
  <sheetViews>
    <sheetView workbookViewId="0">
      <selection activeCell="C3" sqref="C3"/>
    </sheetView>
    <sheetView workbookViewId="1"/>
  </sheetViews>
  <sheetFormatPr baseColWidth="10" defaultRowHeight="12.75" x14ac:dyDescent="0.2"/>
  <cols>
    <col min="2" max="2" width="18.42578125" customWidth="1"/>
  </cols>
  <sheetData>
    <row r="2" spans="2:8" x14ac:dyDescent="0.2">
      <c r="H2" s="181"/>
    </row>
    <row r="3" spans="2:8" x14ac:dyDescent="0.2">
      <c r="B3" s="180" t="s">
        <v>196</v>
      </c>
      <c r="C3">
        <v>10957</v>
      </c>
    </row>
    <row r="4" spans="2:8" x14ac:dyDescent="0.2">
      <c r="B4" s="180" t="s">
        <v>197</v>
      </c>
      <c r="C4">
        <v>12783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11"/>
  <sheetViews>
    <sheetView topLeftCell="A1048576" workbookViewId="0">
      <selection sqref="A1:XFD1048576"/>
    </sheetView>
    <sheetView topLeftCell="A1048576" workbookViewId="1"/>
  </sheetViews>
  <sheetFormatPr baseColWidth="10" defaultRowHeight="12.95" customHeight="1" zeroHeight="1" x14ac:dyDescent="0.2"/>
  <cols>
    <col min="1" max="1" width="3.42578125" style="3" customWidth="1"/>
    <col min="2" max="2" width="90" style="3" customWidth="1"/>
    <col min="3" max="3" width="8.28515625" style="3" customWidth="1"/>
    <col min="4" max="5" width="5.5703125" style="3" bestFit="1" customWidth="1"/>
    <col min="6" max="6" width="10.28515625" style="3" customWidth="1"/>
    <col min="7" max="7" width="9.140625" style="3" bestFit="1" customWidth="1"/>
    <col min="8" max="8" width="14.140625" style="3" bestFit="1" customWidth="1"/>
    <col min="9" max="9" width="15.5703125" style="3" customWidth="1"/>
    <col min="10" max="10" width="9.140625" style="3" bestFit="1" customWidth="1"/>
    <col min="11" max="11" width="7.140625" style="3" hidden="1" customWidth="1"/>
    <col min="12" max="12" width="6.28515625" style="3" hidden="1" customWidth="1"/>
    <col min="13" max="13" width="8.85546875" style="3" hidden="1" customWidth="1"/>
    <col min="14" max="14" width="9.140625" style="3" hidden="1" customWidth="1"/>
    <col min="15" max="15" width="7.140625" style="3" hidden="1" customWidth="1"/>
    <col min="16" max="16" width="7.85546875" style="3" hidden="1" customWidth="1"/>
    <col min="17" max="17" width="11.42578125" style="3" hidden="1" customWidth="1"/>
    <col min="18" max="40" width="11.42578125" style="3" customWidth="1"/>
    <col min="41" max="16384" width="11.42578125" style="3"/>
  </cols>
  <sheetData>
    <row r="1" spans="1:16" ht="15.75" hidden="1" x14ac:dyDescent="0.2">
      <c r="A1" s="2"/>
      <c r="B1" s="525" t="s">
        <v>228</v>
      </c>
      <c r="C1" s="526"/>
      <c r="D1" s="526"/>
      <c r="E1" s="526"/>
      <c r="F1" s="526"/>
    </row>
    <row r="2" spans="1:16" ht="17.25" hidden="1" customHeight="1" x14ac:dyDescent="0.25">
      <c r="A2" s="2"/>
      <c r="B2" s="495" t="s">
        <v>34</v>
      </c>
      <c r="C2" s="495"/>
      <c r="D2" s="495"/>
      <c r="E2" s="495"/>
      <c r="F2" s="495"/>
    </row>
    <row r="3" spans="1:16" ht="18" hidden="1" x14ac:dyDescent="0.25">
      <c r="A3" s="2"/>
      <c r="B3" s="496" t="s">
        <v>101</v>
      </c>
      <c r="C3" s="497"/>
      <c r="D3" s="497"/>
      <c r="E3" s="497"/>
      <c r="F3" s="497"/>
    </row>
    <row r="4" spans="1:16" ht="33.75" hidden="1" x14ac:dyDescent="0.2">
      <c r="C4" s="227" t="s">
        <v>6</v>
      </c>
      <c r="D4" s="228" t="s">
        <v>7</v>
      </c>
      <c r="E4" s="228" t="s">
        <v>8</v>
      </c>
      <c r="F4" s="229" t="s">
        <v>214</v>
      </c>
      <c r="G4" s="230" t="s">
        <v>215</v>
      </c>
    </row>
    <row r="5" spans="1:16" ht="12.95" hidden="1" customHeight="1" x14ac:dyDescent="0.2">
      <c r="B5" s="232" t="s">
        <v>33</v>
      </c>
      <c r="C5" s="301">
        <f>INT(N5/365.25)</f>
        <v>0</v>
      </c>
      <c r="D5" s="301">
        <f>INT((+N5/365.25-C5)*12)</f>
        <v>0</v>
      </c>
      <c r="E5" s="301">
        <f t="shared" ref="E5:E10" si="0">INT((((+N5/365.25-C5)*12)-D5)*30)</f>
        <v>0</v>
      </c>
      <c r="F5" s="231">
        <f>+'Haber Regulador'!E5</f>
        <v>42563.68</v>
      </c>
      <c r="G5" s="231">
        <f>+F5/14</f>
        <v>3040.2628571428572</v>
      </c>
      <c r="N5" s="178">
        <f>+'Tiempos de cotización'!G5+'Tiempos de cotización'!G19+'Tiempos de cotización'!G14+'Tiempos de cotización'!G27+'Tiempos de cotización'!G33</f>
        <v>0</v>
      </c>
    </row>
    <row r="6" spans="1:16" ht="12.95" hidden="1" customHeight="1" x14ac:dyDescent="0.2">
      <c r="B6" s="35" t="s">
        <v>32</v>
      </c>
      <c r="C6" s="301">
        <f>INT(N6/365.25)</f>
        <v>29</v>
      </c>
      <c r="D6" s="301">
        <f t="shared" ref="D6:D10" si="1">INT((+N6/365.25-C6)*12)</f>
        <v>2</v>
      </c>
      <c r="E6" s="301">
        <f t="shared" si="0"/>
        <v>20</v>
      </c>
      <c r="F6" s="231">
        <f>+'Haber Regulador'!H5</f>
        <v>33498.68</v>
      </c>
      <c r="G6" s="231">
        <f t="shared" ref="G6:G10" si="2">+F6/14</f>
        <v>2392.7628571428572</v>
      </c>
      <c r="N6" s="178">
        <f>+'Tiempos de cotización'!G6+'Tiempos de cotización'!G20+'Tiempos de cotización'!G15+'Tiempos de cotización'!G28+'Tiempos de cotización'!G34</f>
        <v>10674</v>
      </c>
    </row>
    <row r="7" spans="1:16" ht="12.95" hidden="1" customHeight="1" x14ac:dyDescent="0.2">
      <c r="B7" s="34" t="s">
        <v>31</v>
      </c>
      <c r="C7" s="301">
        <f t="shared" ref="C7:C10" si="3">INT(N7/365.25)</f>
        <v>0</v>
      </c>
      <c r="D7" s="301">
        <f t="shared" si="1"/>
        <v>0</v>
      </c>
      <c r="E7" s="301">
        <f t="shared" si="0"/>
        <v>0</v>
      </c>
      <c r="F7" s="231">
        <f>+'Haber Regulador'!K5</f>
        <v>29333.53</v>
      </c>
      <c r="G7" s="231">
        <f t="shared" si="2"/>
        <v>2095.2521428571426</v>
      </c>
      <c r="N7" s="178">
        <f>+'Tiempos de cotización'!G7</f>
        <v>0</v>
      </c>
    </row>
    <row r="8" spans="1:16" ht="12.95" hidden="1" customHeight="1" x14ac:dyDescent="0.2">
      <c r="B8" s="34" t="s">
        <v>30</v>
      </c>
      <c r="C8" s="301">
        <f t="shared" si="3"/>
        <v>3</v>
      </c>
      <c r="D8" s="301">
        <f t="shared" si="1"/>
        <v>11</v>
      </c>
      <c r="E8" s="301">
        <f t="shared" si="0"/>
        <v>9</v>
      </c>
      <c r="F8" s="231">
        <f>+'Haber Regulador'!N5</f>
        <v>25727.56</v>
      </c>
      <c r="G8" s="231">
        <f t="shared" si="2"/>
        <v>1837.6828571428573</v>
      </c>
      <c r="N8" s="178">
        <f>+'Tiempos de cotización'!G8+'Tiempos de cotización'!G21</f>
        <v>1440</v>
      </c>
    </row>
    <row r="9" spans="1:16" ht="12.95" hidden="1" customHeight="1" x14ac:dyDescent="0.2">
      <c r="B9" s="34" t="s">
        <v>29</v>
      </c>
      <c r="C9" s="301">
        <f>INT(N9/365.25)</f>
        <v>0</v>
      </c>
      <c r="D9" s="301">
        <f t="shared" si="1"/>
        <v>0</v>
      </c>
      <c r="E9" s="301">
        <f t="shared" si="0"/>
        <v>0</v>
      </c>
      <c r="F9" s="231">
        <f>+'Haber Regulador'!Q5</f>
        <v>20354.759999999998</v>
      </c>
      <c r="G9" s="231">
        <f t="shared" si="2"/>
        <v>1453.9114285714284</v>
      </c>
      <c r="N9" s="178">
        <f>+'Tiempos de cotización'!G9+'Tiempos de cotización'!G22</f>
        <v>0</v>
      </c>
    </row>
    <row r="10" spans="1:16" ht="12.95" hidden="1" customHeight="1" thickBot="1" x14ac:dyDescent="0.25">
      <c r="B10" s="34" t="s">
        <v>28</v>
      </c>
      <c r="C10" s="301">
        <f t="shared" si="3"/>
        <v>0</v>
      </c>
      <c r="D10" s="301">
        <f t="shared" si="1"/>
        <v>0</v>
      </c>
      <c r="E10" s="301">
        <f t="shared" si="0"/>
        <v>0</v>
      </c>
      <c r="F10" s="231">
        <f>+'Haber Regulador'!T5</f>
        <v>17354.060000000001</v>
      </c>
      <c r="G10" s="231">
        <f t="shared" si="2"/>
        <v>1239.5757142857144</v>
      </c>
      <c r="N10" s="178">
        <f>+'Tiempos de cotización'!G10+'Tiempos de cotización'!G23+'Tiempos de cotización'!G37</f>
        <v>0</v>
      </c>
    </row>
    <row r="11" spans="1:16" ht="13.5" hidden="1" thickBot="1" x14ac:dyDescent="0.25">
      <c r="A11" s="2"/>
      <c r="B11" s="287" t="s">
        <v>223</v>
      </c>
      <c r="C11" s="288">
        <f>INT((((+C10+C9+C8+C7+C6+C5)*365.25)+((+D10+D9+D8+D7+D6+D5)*30.4375)+(+E10+E9+E8+E7+E6+E5))/365.25)</f>
        <v>33</v>
      </c>
      <c r="D11" s="288">
        <f>INT((((((+C10+C9+C8+C7+C6+C5)*365.25)+((+D10+D9+D8+D7+D6+D5)*30.4375)+(+E10+E9+E8+E7+E6+E5))/365.25)-INT((((+C10+C9+C8+C7+C6+C5)*365.25)+((+D10+D9+D8+D7+D6+D5)*30.4375)+(+E10+E9+E8+E7+E6+E5))/365.25))*12)</f>
        <v>1</v>
      </c>
      <c r="E11" s="289">
        <f>ROUND(((((((((+C10+C9+C8+C7+C6+C5)*365.25)+((+D10+D9+D8+D7+D6+D5)*30.4375)+(+E10+E9+E8+E7+E6+E5))/365.25)-INT((((+C10+C9+C8+C7+C6+C5)*365.25)+((+D10+D9+D8+D7+D6+D5)*30.4375)+(+E10+E9+E8+E7+E6+E5))/365.25))*12)-INT((((((+C10+C9+C8+C7+C6+C5)*365.25)+((+D10+D9+D8+D7+D6+D5)*30.4375)+(+E10+E9+E8+E7+E6+E5))/365.25)-INT((((+C10+C9+C8+C7+C6+C5)*365.25)+((+D10+D9+D8+D7+D6+D5)*30.4375)+(+E10+E9+E8+E7+E6+E5))/365.25))*12))*30),0)</f>
        <v>29</v>
      </c>
      <c r="F11" s="290">
        <f>+'Haber Regulador'!I43</f>
        <v>37904.86</v>
      </c>
      <c r="G11" s="290">
        <f>+F11/14</f>
        <v>2707.4900000000002</v>
      </c>
      <c r="H11" s="291" t="s">
        <v>224</v>
      </c>
      <c r="N11" s="178">
        <f>SUM(N5:N10)</f>
        <v>12114</v>
      </c>
    </row>
    <row r="12" spans="1:16" ht="11.25" hidden="1" x14ac:dyDescent="0.2"/>
    <row r="13" spans="1:16" ht="12.75" hidden="1" x14ac:dyDescent="0.2">
      <c r="A13" s="2"/>
      <c r="B13" s="233"/>
      <c r="C13" s="234"/>
      <c r="D13" s="234"/>
      <c r="E13" s="234"/>
      <c r="N13" s="235"/>
    </row>
    <row r="14" spans="1:16" ht="12.75" hidden="1" x14ac:dyDescent="0.2">
      <c r="A14" s="2"/>
      <c r="B14" s="236" t="s">
        <v>216</v>
      </c>
      <c r="C14" s="237">
        <f>IF((C10*365.25)+(D10*30.4375)+(E10)&gt;0,+((((+C6*365.25)+(D6*30.4375)+E6)/365.25)+(((+C5*365.25)+(D5*30.4375)+E5)/365.25)+(((+C7*365.25)+(D7*30.4375)+E7)/365.25)+(((+C8*365.25)+(D8*30.4375)+E8)/365.25)+(((+C9*365.25)+(D9*30.4375)+E9)/365.25)+(((+C10*365.25)+(D10*30.4375)+E10)/365.25)),0)</f>
        <v>0</v>
      </c>
      <c r="D14" s="238"/>
      <c r="E14" s="239"/>
      <c r="N14" s="235"/>
    </row>
    <row r="15" spans="1:16" ht="12.75" hidden="1" x14ac:dyDescent="0.2">
      <c r="A15" s="2"/>
      <c r="B15" s="236"/>
      <c r="C15" s="240">
        <f>(+C14-C16)*365.25</f>
        <v>0</v>
      </c>
      <c r="D15" s="241">
        <f>+C15/30.4275</f>
        <v>0</v>
      </c>
      <c r="E15" s="241">
        <f>+D15-D16</f>
        <v>0</v>
      </c>
      <c r="N15" s="235"/>
    </row>
    <row r="16" spans="1:16" ht="12.75" hidden="1" x14ac:dyDescent="0.2">
      <c r="A16" s="2"/>
      <c r="B16" s="242" t="s">
        <v>217</v>
      </c>
      <c r="C16" s="243">
        <f>INT(+C14)</f>
        <v>0</v>
      </c>
      <c r="D16" s="243">
        <f>INT(+C15/30.4375)</f>
        <v>0</v>
      </c>
      <c r="E16" s="243">
        <f>INT(+E15*30.4375)</f>
        <v>0</v>
      </c>
      <c r="F16" s="3" t="s">
        <v>243</v>
      </c>
      <c r="N16" s="244">
        <f>+F10</f>
        <v>17354.060000000001</v>
      </c>
      <c r="O16" s="245">
        <f>IF($C16=1,1.24%,IF($C16=2,2.55%,IF($C16=3,3.88%,IF($C16=4,5.31%,IF($C16=5,6.83%,IF($C16=6,8.43%,IF($C16=7,10.11%,IF($C16=8,11.88%,IF($C16=9,13.73%,IF($C16=10,15.67%,IF($C16=11,17.71%,IF($C16=12,19.86%,IF($C16=13,22.1%,IF($C16=14,24.45%,IF($C16=15,26.92%,IF($C16=16,30.57%,IF($C16=17,34.23%,IF($C16=18,37.88%,IF($C16=19,41.54%,IF($C16=20,45.19%,IF($C16=21,48.84%,IF($C16=22,52.5%,IF($C16=23,56.15%,IF($C16=24,59.81%,IF($C16=25,63.46%,IF($C16=26,67.11%,IF($C16=27,70.77%,IF($C16=28,74.42%,IF($C16=29,78.08%,IF($C16=30,81.73%,IF($C16=31,85.38%,IF($C16=32,89.04%,IF($C16=33,92.69%,IF($C16=34,96.35%,IF($C16&gt;34,100%,0)))))))))))))))))))))))))))))))))))</f>
        <v>0</v>
      </c>
      <c r="P16" s="246">
        <f>+N16*O16</f>
        <v>0</v>
      </c>
    </row>
    <row r="17" spans="1:16" ht="11.25" hidden="1" x14ac:dyDescent="0.2">
      <c r="A17" s="2"/>
      <c r="B17" s="247" t="s">
        <v>216</v>
      </c>
      <c r="C17" s="248">
        <f>IF((C9*365.25)+(D9*30.4375)+(E9)&gt;0,+((((+C6*365.25)+(D6*30.4375)+E6)/365.25)+(((+C5*365.25)+(D5*30.4375)+E5)/365.25)+(((+C7*365.25)+(D7*30.4375)+E7)/365.25)+(((+C8*365.25)+(D8*30.4375)+E8)/365.25)+(((+C9*365.25)+(D9*30.4375)+E9)/365.25)),0)</f>
        <v>0</v>
      </c>
      <c r="D17" s="249"/>
      <c r="E17" s="250"/>
      <c r="P17" s="246"/>
    </row>
    <row r="18" spans="1:16" ht="11.25" hidden="1" x14ac:dyDescent="0.2">
      <c r="A18" s="2"/>
      <c r="B18" s="247"/>
      <c r="C18" s="251">
        <f>(+C17-C19)*365.25</f>
        <v>0</v>
      </c>
      <c r="D18" s="252">
        <f>+C18/30.4275</f>
        <v>0</v>
      </c>
      <c r="E18" s="252">
        <f>+D18-D19</f>
        <v>0</v>
      </c>
      <c r="P18" s="246"/>
    </row>
    <row r="19" spans="1:16" ht="12.75" hidden="1" x14ac:dyDescent="0.2">
      <c r="A19" s="2"/>
      <c r="B19" s="253" t="s">
        <v>218</v>
      </c>
      <c r="C19" s="254">
        <f>INT(+C17)</f>
        <v>0</v>
      </c>
      <c r="D19" s="254">
        <f>INT(+C18/30.4375)</f>
        <v>0</v>
      </c>
      <c r="E19" s="254">
        <f>INT(+E18*30.4375)</f>
        <v>0</v>
      </c>
      <c r="N19" s="244">
        <f>IF(C14&gt;0,F9-F10,F9)</f>
        <v>20354.759999999998</v>
      </c>
      <c r="O19" s="245">
        <f>IF($C19=1,1.24%,IF($C19=2,2.55%,IF($C19=3,3.88%,IF($C19=4,5.31%,IF($C19=5,6.83%,IF($C19=6,8.43%,IF($C19=7,10.11%,IF($C19=8,11.88%,IF($C19=9,13.73%,IF($C19=10,15.67%,IF($C19=11,17.71%,IF($C19=12,19.86%,IF($C19=13,22.1%,IF($C19=14,24.45%,IF($C19=15,26.92%,IF($C19=16,30.57%,IF($C19=17,34.23%,IF($C19=18,37.88%,IF($C19=19,41.54%,IF($C19=20,45.19%,IF($C19=21,48.84%,IF($C19=22,52.5%,IF($C19=23,56.15%,IF($C19=24,59.81%,IF($C19=25,63.46%,IF($C19=26,67.11%,IF($C19=27,70.77%,IF($C19=28,74.42%,IF($C19=29,78.08%,IF($C19=30,81.73%,IF($C19=31,85.38%,IF($C19=32,89.04%,IF($C19=33,92.69%,IF($C19=34,96.35%,IF($C19&gt;34,100%,0)))))))))))))))))))))))))))))))))))</f>
        <v>0</v>
      </c>
      <c r="P19" s="246">
        <f>+N19*O19</f>
        <v>0</v>
      </c>
    </row>
    <row r="20" spans="1:16" ht="11.25" hidden="1" x14ac:dyDescent="0.2">
      <c r="A20" s="2"/>
      <c r="B20" s="255" t="s">
        <v>216</v>
      </c>
      <c r="C20" s="256">
        <f>IF((C8*365.25)+(D8*30.4375)+(E8)&gt;0,+((((+C6*365.25)+(D6*30.4375)+E6)/365.25)+(((+C5*365.25)+(D5*30.4375)+E5)/365.25)+(((+C7*365.25)+(D7*30.4375)+E7)/365.25)+(((+C8*365.25)+(D8*30.4375)+E8)/365.25)),0)</f>
        <v>33.162731006160165</v>
      </c>
      <c r="D20" s="257"/>
      <c r="E20" s="258"/>
      <c r="P20" s="246"/>
    </row>
    <row r="21" spans="1:16" ht="11.25" hidden="1" x14ac:dyDescent="0.2">
      <c r="A21" s="2"/>
      <c r="B21" s="255"/>
      <c r="C21" s="259">
        <f>(+C20-C22)*365.25</f>
        <v>59.437500000000185</v>
      </c>
      <c r="D21" s="260">
        <f>+C21/30.4275</f>
        <v>1.9534138526004499</v>
      </c>
      <c r="E21" s="260">
        <f>+D21-D22</f>
        <v>0.95341385260044986</v>
      </c>
      <c r="P21" s="246"/>
    </row>
    <row r="22" spans="1:16" ht="12.75" hidden="1" x14ac:dyDescent="0.2">
      <c r="A22" s="2"/>
      <c r="B22" s="261" t="s">
        <v>219</v>
      </c>
      <c r="C22" s="262">
        <f>INT(+C20)</f>
        <v>33</v>
      </c>
      <c r="D22" s="262">
        <f>INT(+C21/30.4375)</f>
        <v>1</v>
      </c>
      <c r="E22" s="262">
        <f>INT(+E21*30.4375)</f>
        <v>29</v>
      </c>
      <c r="N22" s="244">
        <f>IF(C17&gt;0,F8-F9,IF(C14&gt;0,F8-F10,F8))</f>
        <v>25727.56</v>
      </c>
      <c r="O22" s="245">
        <f>IF($C22=1,1.24%,IF($C22=2,2.55%,IF($C22=3,3.88%,IF($C22=4,5.31%,IF($C22=5,6.83%,IF($C22=6,8.43%,IF($C22=7,10.11%,IF($C22=8,11.88%,IF($C22=9,13.73%,IF($C22=10,15.67%,IF($C22=11,17.71%,IF($C22=12,19.86%,IF($C22=13,22.1%,IF($C22=14,24.45%,IF($C22=15,26.92%,IF($C22=16,30.57%,IF($C22=17,34.23%,IF($C22=18,37.88%,IF($C22=19,41.54%,IF($C22=20,45.19%,IF($C22=21,48.84%,IF($C22=22,52.5%,IF($C22=23,56.15%,IF($C22=24,59.81%,IF($C22=25,63.46%,IF($C22=26,67.11%,IF($C22=27,70.77%,IF($C22=28,74.42%,IF($C22=29,78.08%,IF($C22=30,81.73%,IF($C22=31,85.38%,IF($C22=32,89.04%,IF($C22=33,92.69%,IF($C22=34,96.35%,IF($C22&gt;34,100%,0)))))))))))))))))))))))))))))))))))</f>
        <v>0.92689999999999995</v>
      </c>
      <c r="P22" s="246">
        <f>+N22*O22</f>
        <v>23846.875364</v>
      </c>
    </row>
    <row r="23" spans="1:16" ht="12.75" hidden="1" x14ac:dyDescent="0.2">
      <c r="A23" s="2"/>
      <c r="B23" s="263" t="s">
        <v>216</v>
      </c>
      <c r="C23" s="264">
        <f>IF((C7*365.25)+(D7*30.4375)+(E7)&gt;0,+((((+C6*365.25)+(D6*30.4375)+E6)/365.25)+(((+C5*365.25)+(D5*30.4375)+E5)/365.25)+(((+C7*365.25)+(D7*30.4375)+E7)/365.25)),0)</f>
        <v>0</v>
      </c>
      <c r="D23" s="265"/>
      <c r="E23" s="266"/>
      <c r="N23" s="235"/>
      <c r="P23" s="246"/>
    </row>
    <row r="24" spans="1:16" ht="12.75" hidden="1" x14ac:dyDescent="0.2">
      <c r="A24" s="2"/>
      <c r="B24" s="263"/>
      <c r="C24" s="267">
        <f>(+C23-C25)*365.25</f>
        <v>0</v>
      </c>
      <c r="D24" s="268">
        <f>+C24/30.4275</f>
        <v>0</v>
      </c>
      <c r="E24" s="268">
        <f>+D24-D25</f>
        <v>0</v>
      </c>
      <c r="N24" s="235"/>
      <c r="P24" s="246"/>
    </row>
    <row r="25" spans="1:16" ht="12.75" hidden="1" x14ac:dyDescent="0.2">
      <c r="A25" s="2"/>
      <c r="B25" s="269" t="s">
        <v>220</v>
      </c>
      <c r="C25" s="270">
        <f>INT(+C23)</f>
        <v>0</v>
      </c>
      <c r="D25" s="270">
        <f>INT(+C24/30.4375)</f>
        <v>0</v>
      </c>
      <c r="E25" s="270">
        <f>INT(+E24*30.4375)</f>
        <v>0</v>
      </c>
      <c r="N25" s="244">
        <f>IF(C20&gt;0,F7-F8,IF(C17&gt;0,F7-F9,IF(C14&gt;0,F7-F10,F7)))</f>
        <v>3605.9699999999975</v>
      </c>
      <c r="O25" s="245">
        <f>IF($C25=1,1.24%,IF($C25=2,2.55%,IF($C25=3,3.88%,IF($C25=4,5.31%,IF($C25=5,6.83%,IF($C25=6,8.43%,IF($C25=7,10.11%,IF($C25=8,11.88%,IF($C25=9,13.73%,IF($C25=10,15.67%,IF($C25=11,17.71%,IF($C25=12,19.86%,IF($C25=13,22.1%,IF($C25=14,24.45%,IF($C25=15,26.92%,IF($C25=16,30.57%,IF($C25=17,34.23%,IF($C25=18,37.88%,IF($C25=19,41.54%,IF($C25=20,45.19%,IF($C25=21,48.84%,IF($C25=22,52.5%,IF($C25=23,56.15%,IF($C25=24,59.81%,IF($C25=25,63.46%,IF($C25=26,67.11%,IF($C25=27,70.77%,IF($C25=28,74.42%,IF($C25=29,78.08%,IF($C25=30,81.73%,IF($C25=31,85.38%,IF($C25=32,89.04%,IF($C25=33,92.69%,IF($C25=34,96.35%,IF($C25&gt;34,100%,0)))))))))))))))))))))))))))))))))))</f>
        <v>0</v>
      </c>
      <c r="P25" s="246">
        <f>+N25*O25</f>
        <v>0</v>
      </c>
    </row>
    <row r="26" spans="1:16" ht="11.25" hidden="1" x14ac:dyDescent="0.2">
      <c r="A26" s="2"/>
      <c r="B26" s="271" t="s">
        <v>216</v>
      </c>
      <c r="C26" s="272">
        <f>IF((C6*365.25)+(D6*30.4375)+(E6)&gt;0,+((((+C6*365.25)+(D6*30.4375)+E6)/365.25)+(((+C5*365.25)+(D5*30.4375)+E5)/365.25)),0)</f>
        <v>29.221423682409309</v>
      </c>
      <c r="D26" s="273"/>
      <c r="E26" s="274"/>
      <c r="P26" s="246"/>
    </row>
    <row r="27" spans="1:16" ht="11.25" hidden="1" x14ac:dyDescent="0.2">
      <c r="A27" s="2"/>
      <c r="B27" s="271"/>
      <c r="C27" s="275">
        <f>(+C26-C28)*365.25</f>
        <v>80.875000000000185</v>
      </c>
      <c r="D27" s="276">
        <f>+C27/30.4275</f>
        <v>2.657957439815962</v>
      </c>
      <c r="E27" s="276">
        <f>+D27-D28</f>
        <v>0.657957439815962</v>
      </c>
      <c r="P27" s="246"/>
    </row>
    <row r="28" spans="1:16" ht="12.75" hidden="1" x14ac:dyDescent="0.2">
      <c r="A28" s="2"/>
      <c r="B28" s="277" t="s">
        <v>221</v>
      </c>
      <c r="C28" s="278">
        <f>INT(+C26)</f>
        <v>29</v>
      </c>
      <c r="D28" s="278">
        <f>INT(+C27/30.4375)</f>
        <v>2</v>
      </c>
      <c r="E28" s="278">
        <f>INT(+E27*30.4375)</f>
        <v>20</v>
      </c>
      <c r="N28" s="244">
        <f>IF(C23&gt;0,F6-F7,IF(C20&gt;0,F6-F8,IF(C17&gt;0,F6-F9,IF(C14&gt;0,F6-F10,F6))))</f>
        <v>7771.119999999999</v>
      </c>
      <c r="O28" s="245">
        <f>IF($C28=1,1.24%,IF($C28=2,2.55%,IF($C28=3,3.88%,IF($C28=4,5.31%,IF($C28=5,6.83%,IF($C28=6,8.43%,IF($C28=7,10.11%,IF($C28=8,11.88%,IF($C28=9,13.73%,IF($C28=10,15.67%,IF($C28=11,17.71%,IF($C28=12,19.86%,IF($C28=13,22.1%,IF($C28=14,24.45%,IF($C28=15,26.92%,IF($C28=16,30.57%,IF($C28=17,34.23%,IF($C28=18,37.88%,IF($C28=19,41.54%,IF($C28=20,45.19%,IF($C28=21,48.84%,IF($C28=22,52.5%,IF($C28=23,56.15%,IF($C28=24,59.81%,IF($C28=25,63.46%,IF($C28=26,67.11%,IF($C28=27,70.77%,IF($C28=28,74.42%,IF($C28=29,78.08%,IF($C28=30,81.73%,IF($C28=31,85.38%,IF($C28=32,89.04%,IF($C28=33,92.69%,IF($C28=34,96.35%,IF($C28&gt;34,100%,0)))))))))))))))))))))))))))))))))))</f>
        <v>0.78079999999999994</v>
      </c>
      <c r="P28" s="246">
        <f>+N28*O28</f>
        <v>6067.6904959999983</v>
      </c>
    </row>
    <row r="29" spans="1:16" ht="12.75" hidden="1" x14ac:dyDescent="0.2">
      <c r="A29" s="2"/>
      <c r="B29" s="279"/>
      <c r="C29" s="280">
        <f>IF((C5*365.25)+(D5*30.4375)+(E5)&gt;0,+((((+C5*365.25)+(D5*30.4375)+E5)/365.25)),0)</f>
        <v>0</v>
      </c>
      <c r="D29" s="281"/>
      <c r="E29" s="282"/>
      <c r="N29" s="244"/>
      <c r="P29" s="246"/>
    </row>
    <row r="30" spans="1:16" ht="12.75" hidden="1" x14ac:dyDescent="0.2">
      <c r="A30" s="2"/>
      <c r="B30" s="279"/>
      <c r="C30" s="283">
        <f>(+C29-C31)*365.25</f>
        <v>0</v>
      </c>
      <c r="D30" s="284">
        <f>+C30/30.4275</f>
        <v>0</v>
      </c>
      <c r="E30" s="284">
        <f>+D30-D31</f>
        <v>0</v>
      </c>
      <c r="N30" s="244"/>
      <c r="P30" s="246"/>
    </row>
    <row r="31" spans="1:16" ht="12.75" hidden="1" x14ac:dyDescent="0.2">
      <c r="A31" s="2"/>
      <c r="B31" s="279" t="s">
        <v>222</v>
      </c>
      <c r="C31" s="285">
        <f>INT(+C29)</f>
        <v>0</v>
      </c>
      <c r="D31" s="285">
        <f>INT(+C30/30.4375)</f>
        <v>0</v>
      </c>
      <c r="E31" s="285">
        <f>INT(+E30*30.4375)</f>
        <v>0</v>
      </c>
      <c r="N31" s="244">
        <f>IF(C26&gt;0,F5-F6,IF(C23&gt;0,F5-F7,IF(C20&gt;0,F5-F8,IF(C17&gt;0,F5-F9,IF(C14&gt;0,F5-F10,F5)))))</f>
        <v>9065</v>
      </c>
      <c r="O31" s="245">
        <f>IF($C31=1,1.24%,IF($C31=2,2.55%,IF($C31=3,3.88%,IF($C31=4,5.31%,IF($C31=5,6.83%,IF($C31=6,8.43%,IF($C31=7,10.11%,IF($C31=8,11.88%,IF($C31=9,13.73%,IF($C31=10,15.67%,IF($C31=11,17.71%,IF($C31=12,19.86%,IF($C31=13,22.1%,IF($C31=14,24.45%,IF($C31=15,26.92%,IF($C31=16,30.57%,IF($C31=17,34.23%,IF($C31=18,37.88%,IF($C31=19,41.54%,IF($C31=20,45.19%,IF($C31=21,48.84%,IF($C31=22,52.5%,IF($C31=23,56.15%,IF($C31=24,59.81%,IF($C31=25,63.46%,IF($C31=26,67.11%,IF($C31=27,70.77%,IF($C31=28,74.42%,IF($C31=29,78.08%,IF($C31=30,81.73%,IF($C31=31,85.38%,IF($C31=32,89.04%,IF($C31=33,92.69%,IF($C31=34,96.35%,IF($C31&gt;34,100%,0)))))))))))))))))))))))))))))))))))</f>
        <v>0</v>
      </c>
      <c r="P31" s="246">
        <f>+N31*O31</f>
        <v>0</v>
      </c>
    </row>
    <row r="32" spans="1:16" ht="11.25" hidden="1" x14ac:dyDescent="0.2">
      <c r="A32" s="2"/>
      <c r="B32" s="279"/>
      <c r="C32" s="286"/>
      <c r="D32" s="286"/>
      <c r="E32" s="286"/>
      <c r="F32" s="2"/>
      <c r="L32" s="246"/>
    </row>
    <row r="33" spans="2:10" ht="11.25" hidden="1" x14ac:dyDescent="0.2"/>
    <row r="34" spans="2:10" ht="11.25" hidden="1" x14ac:dyDescent="0.2"/>
    <row r="35" spans="2:10" ht="11.25" hidden="1" x14ac:dyDescent="0.2"/>
    <row r="36" spans="2:10" ht="28.5" hidden="1" customHeight="1" x14ac:dyDescent="0.25">
      <c r="B36" s="292" t="s">
        <v>234</v>
      </c>
      <c r="C36" s="527" t="s">
        <v>225</v>
      </c>
      <c r="D36" s="528"/>
      <c r="E36" s="527" t="s">
        <v>226</v>
      </c>
      <c r="F36" s="528"/>
    </row>
    <row r="37" spans="2:10" ht="15.75" hidden="1" x14ac:dyDescent="0.2">
      <c r="B37" s="293" t="s">
        <v>227</v>
      </c>
      <c r="C37" s="523">
        <f>+E37/14</f>
        <v>2136.7547042857141</v>
      </c>
      <c r="D37" s="524"/>
      <c r="E37" s="523">
        <f>IF((P31+P28+P25+P22+P19+P16)&gt;F11,F11,(+P31+P28+P25+P22+P19+P16))</f>
        <v>29914.565859999999</v>
      </c>
      <c r="F37" s="524"/>
    </row>
    <row r="38" spans="2:10" ht="15.75" hidden="1" x14ac:dyDescent="0.2">
      <c r="B38" s="293" t="s">
        <v>227</v>
      </c>
      <c r="C38" s="523">
        <f>+C37</f>
        <v>2136.7547042857141</v>
      </c>
      <c r="D38" s="524"/>
      <c r="E38" s="523">
        <f>+C38*14</f>
        <v>29914.565859999995</v>
      </c>
      <c r="F38" s="524"/>
      <c r="G38" s="310" t="str">
        <f>IF(C38&gt;G11-0.001,"  Pensión Máxima"," ")</f>
        <v xml:space="preserve"> </v>
      </c>
      <c r="H38" s="311"/>
      <c r="I38" s="295"/>
      <c r="J38" s="295"/>
    </row>
    <row r="39" spans="2:10" ht="15.75" hidden="1" x14ac:dyDescent="0.2">
      <c r="B39" s="294"/>
      <c r="C39" s="529"/>
      <c r="D39" s="530"/>
      <c r="E39" s="523">
        <f>+E38+(E38*C55)</f>
        <v>29914.565859999995</v>
      </c>
      <c r="F39" s="524"/>
      <c r="G39" s="294"/>
      <c r="H39" s="294"/>
      <c r="I39" s="295"/>
      <c r="J39" s="295"/>
    </row>
    <row r="40" spans="2:10" ht="15.75" hidden="1" x14ac:dyDescent="0.2">
      <c r="B40" s="294"/>
      <c r="C40" s="305"/>
      <c r="D40" s="309"/>
      <c r="E40" s="523">
        <f>IF(E39&gt;F11,F11+((E39-F11)/2),E39)</f>
        <v>29914.565859999995</v>
      </c>
      <c r="F40" s="524"/>
      <c r="G40" s="294"/>
      <c r="H40" s="294"/>
      <c r="I40" s="295"/>
      <c r="J40" s="295"/>
    </row>
    <row r="41" spans="2:10" ht="15.75" hidden="1" x14ac:dyDescent="0.2">
      <c r="B41" s="307" t="s">
        <v>233</v>
      </c>
      <c r="C41" s="523">
        <f>+E41/14</f>
        <v>2136.7547042857141</v>
      </c>
      <c r="D41" s="524"/>
      <c r="E41" s="523">
        <f>+E40</f>
        <v>29914.565859999995</v>
      </c>
      <c r="F41" s="524"/>
      <c r="G41" s="308" t="str">
        <f>IF(E41&gt;F11,"  Mujer por jubilación forzosa o incapacidad puede pasar de la pensión máxima","")</f>
        <v/>
      </c>
      <c r="H41" s="294"/>
      <c r="I41" s="295"/>
      <c r="J41" s="295"/>
    </row>
    <row r="42" spans="2:10" ht="11.25" hidden="1" customHeight="1" x14ac:dyDescent="0.2"/>
    <row r="43" spans="2:10" ht="11.25" hidden="1" customHeight="1" x14ac:dyDescent="0.2"/>
    <row r="44" spans="2:10" ht="11.25" hidden="1" customHeight="1" x14ac:dyDescent="0.2"/>
    <row r="45" spans="2:10" ht="11.25" hidden="1" customHeight="1" x14ac:dyDescent="0.2"/>
    <row r="46" spans="2:10" ht="11.25" hidden="1" customHeight="1" x14ac:dyDescent="0.2"/>
    <row r="47" spans="2:10" ht="11.25" hidden="1" customHeight="1" x14ac:dyDescent="0.2"/>
    <row r="48" spans="2:10" ht="11.25" hidden="1" x14ac:dyDescent="0.2">
      <c r="C48" s="227" t="s">
        <v>8</v>
      </c>
      <c r="D48" s="227" t="s">
        <v>6</v>
      </c>
      <c r="E48" s="227" t="s">
        <v>7</v>
      </c>
      <c r="F48" s="227" t="s">
        <v>8</v>
      </c>
    </row>
    <row r="49" spans="2:16" ht="11.25" hidden="1" x14ac:dyDescent="0.2">
      <c r="B49" s="3" t="s">
        <v>229</v>
      </c>
      <c r="C49" s="296">
        <v>443</v>
      </c>
      <c r="D49" s="227">
        <f t="shared" ref="D49" si="4">INT(+C49/365.25)</f>
        <v>1</v>
      </c>
      <c r="E49" s="227">
        <f t="shared" ref="E49" si="5">INT((+C49/365.25-D49)*12)</f>
        <v>2</v>
      </c>
      <c r="F49" s="227">
        <f t="shared" ref="F49" si="6">INT((((+C49/365.25-D49)*12)-E49)*30)</f>
        <v>16</v>
      </c>
      <c r="M49" s="246"/>
    </row>
    <row r="50" spans="2:16" ht="12" hidden="1" thickBot="1" x14ac:dyDescent="0.25">
      <c r="B50" s="3" t="s">
        <v>230</v>
      </c>
      <c r="C50" s="298">
        <f>INT(+(D50*365.25)+(E50*30.4275)+F50)+1</f>
        <v>1614</v>
      </c>
      <c r="D50" s="299">
        <v>4</v>
      </c>
      <c r="E50" s="299">
        <v>5</v>
      </c>
      <c r="F50" s="300"/>
      <c r="M50" s="177"/>
    </row>
    <row r="52" spans="2:16" ht="12.95" hidden="1" customHeight="1" x14ac:dyDescent="0.2">
      <c r="C52" s="3" t="str">
        <f>+Datos!E9</f>
        <v>Jubilación Anticipada (60 años y 30 años de Servicio)</v>
      </c>
    </row>
    <row r="53" spans="2:16" ht="12.95" hidden="1" customHeight="1" x14ac:dyDescent="0.2">
      <c r="C53" s="89">
        <f>+Datos!E17</f>
        <v>0</v>
      </c>
    </row>
    <row r="54" spans="2:16" ht="12.95" hidden="1" customHeight="1" x14ac:dyDescent="0.2">
      <c r="C54" s="89">
        <f>+Datos!F19</f>
        <v>0</v>
      </c>
    </row>
    <row r="55" spans="2:16" ht="12.95" hidden="1" customHeight="1" x14ac:dyDescent="0.2">
      <c r="C55" s="304">
        <f>IF(AND(C53="Mujer",C54=2,OR(C52=B57,C52=B58,C52=B59)),5%,IF(AND(C53="Mujer",C54=3,OR(C52=B57,C52=B58,C52=B59)),10%,IF(AND(C53="Mujer",C54&gt;3,OR(C52=B57,C52=B58,C52=B59)),15%,0%)))</f>
        <v>0</v>
      </c>
      <c r="D55" s="306">
        <f>IF(E39&gt;F11,C55/2,C55)</f>
        <v>0</v>
      </c>
    </row>
    <row r="57" spans="2:16" ht="12.95" hidden="1" customHeight="1" x14ac:dyDescent="0.2">
      <c r="B57" s="2" t="s">
        <v>88</v>
      </c>
    </row>
    <row r="58" spans="2:16" ht="12.95" hidden="1" customHeight="1" x14ac:dyDescent="0.2">
      <c r="B58" s="2" t="s">
        <v>14</v>
      </c>
    </row>
    <row r="59" spans="2:16" ht="11.25" hidden="1" x14ac:dyDescent="0.2">
      <c r="B59" s="2" t="s">
        <v>15</v>
      </c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</row>
    <row r="60" spans="2:16" ht="11.25" hidden="1" x14ac:dyDescent="0.2"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</row>
    <row r="61" spans="2:16" ht="11.25" hidden="1" x14ac:dyDescent="0.2"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</row>
    <row r="62" spans="2:16" ht="11.25" hidden="1" x14ac:dyDescent="0.2"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</row>
    <row r="63" spans="2:16" ht="11.25" hidden="1" x14ac:dyDescent="0.2">
      <c r="B63" s="297"/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</row>
    <row r="64" spans="2:16" ht="11.25" hidden="1" x14ac:dyDescent="0.2">
      <c r="B64" s="297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</row>
    <row r="65" spans="2:16" ht="11.25" hidden="1" x14ac:dyDescent="0.2"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</row>
    <row r="66" spans="2:16" ht="11.25" hidden="1" x14ac:dyDescent="0.2"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</row>
    <row r="67" spans="2:16" ht="11.25" hidden="1" x14ac:dyDescent="0.2"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</row>
    <row r="68" spans="2:16" ht="11.25" hidden="1" x14ac:dyDescent="0.2"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</row>
    <row r="69" spans="2:16" ht="11.25" hidden="1" x14ac:dyDescent="0.2"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</row>
    <row r="70" spans="2:16" ht="11.25" hidden="1" x14ac:dyDescent="0.2">
      <c r="B70" s="297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</row>
    <row r="71" spans="2:16" ht="11.25" hidden="1" x14ac:dyDescent="0.2">
      <c r="B71" s="297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</row>
    <row r="72" spans="2:16" ht="11.25" hidden="1" x14ac:dyDescent="0.2"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</row>
    <row r="73" spans="2:16" ht="11.25" hidden="1" x14ac:dyDescent="0.2">
      <c r="B73" s="297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</row>
    <row r="74" spans="2:16" ht="11.25" hidden="1" x14ac:dyDescent="0.2"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</row>
    <row r="75" spans="2:16" ht="11.25" hidden="1" x14ac:dyDescent="0.2">
      <c r="B75" s="297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</row>
    <row r="76" spans="2:16" ht="11.25" hidden="1" x14ac:dyDescent="0.2"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</row>
    <row r="77" spans="2:16" ht="11.25" hidden="1" x14ac:dyDescent="0.2"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</row>
    <row r="78" spans="2:16" ht="11.25" hidden="1" x14ac:dyDescent="0.2"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</row>
    <row r="79" spans="2:16" ht="11.25" hidden="1" x14ac:dyDescent="0.2"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</row>
    <row r="80" spans="2:16" ht="11.25" hidden="1" x14ac:dyDescent="0.2"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</row>
    <row r="81" spans="2:16" ht="11.25" hidden="1" x14ac:dyDescent="0.2"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</row>
    <row r="82" spans="2:16" ht="11.25" hidden="1" x14ac:dyDescent="0.2"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</row>
    <row r="83" spans="2:16" ht="11.25" hidden="1" x14ac:dyDescent="0.2">
      <c r="B83" s="297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</row>
    <row r="84" spans="2:16" ht="11.25" hidden="1" x14ac:dyDescent="0.2"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</row>
    <row r="85" spans="2:16" ht="11.25" hidden="1" x14ac:dyDescent="0.2"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</row>
    <row r="86" spans="2:16" ht="11.25" hidden="1" x14ac:dyDescent="0.2"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</row>
    <row r="87" spans="2:16" ht="11.25" hidden="1" x14ac:dyDescent="0.2"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</row>
    <row r="88" spans="2:16" ht="11.25" hidden="1" x14ac:dyDescent="0.2"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</row>
    <row r="89" spans="2:16" ht="11.25" hidden="1" x14ac:dyDescent="0.2"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</row>
    <row r="90" spans="2:16" ht="11.25" hidden="1" x14ac:dyDescent="0.2"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</row>
    <row r="91" spans="2:16" ht="11.25" hidden="1" x14ac:dyDescent="0.2"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</row>
    <row r="92" spans="2:16" ht="11.25" hidden="1" x14ac:dyDescent="0.2"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</row>
    <row r="93" spans="2:16" ht="11.25" hidden="1" x14ac:dyDescent="0.2"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</row>
    <row r="94" spans="2:16" ht="11.25" hidden="1" x14ac:dyDescent="0.2"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</row>
    <row r="95" spans="2:16" ht="11.25" hidden="1" x14ac:dyDescent="0.2"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</row>
    <row r="96" spans="2:16" ht="11.25" hidden="1" x14ac:dyDescent="0.2"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</row>
    <row r="97" spans="2:16" ht="11.25" hidden="1" x14ac:dyDescent="0.2"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</row>
    <row r="98" spans="2:16" ht="11.25" hidden="1" x14ac:dyDescent="0.2"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</row>
    <row r="99" spans="2:16" ht="11.25" hidden="1" x14ac:dyDescent="0.2"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</row>
    <row r="100" spans="2:16" ht="11.25" hidden="1" x14ac:dyDescent="0.2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</row>
    <row r="101" spans="2:16" ht="11.25" hidden="1" x14ac:dyDescent="0.2">
      <c r="B101" s="297"/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</row>
    <row r="102" spans="2:16" ht="11.25" hidden="1" x14ac:dyDescent="0.2"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</row>
    <row r="103" spans="2:16" ht="11.25" hidden="1" x14ac:dyDescent="0.2">
      <c r="B103" s="297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</row>
    <row r="104" spans="2:16" ht="11.25" hidden="1" x14ac:dyDescent="0.2"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</row>
    <row r="105" spans="2:16" ht="11.25" hidden="1" x14ac:dyDescent="0.2"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</row>
    <row r="106" spans="2:16" ht="11.25" hidden="1" x14ac:dyDescent="0.2"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</row>
    <row r="107" spans="2:16" ht="11.25" hidden="1" x14ac:dyDescent="0.2">
      <c r="B107" s="297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</row>
    <row r="108" spans="2:16" ht="11.25" hidden="1" x14ac:dyDescent="0.2">
      <c r="B108" s="297"/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</row>
    <row r="109" spans="2:16" ht="11.25" hidden="1" x14ac:dyDescent="0.2"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</row>
    <row r="110" spans="2:16" ht="11.25" hidden="1" x14ac:dyDescent="0.2">
      <c r="B110" s="297"/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</row>
    <row r="111" spans="2:16" ht="11.25" hidden="1" x14ac:dyDescent="0.2"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</row>
  </sheetData>
  <sheetProtection sheet="1" objects="1" scenarios="1"/>
  <mergeCells count="14">
    <mergeCell ref="E39:F39"/>
    <mergeCell ref="E40:F40"/>
    <mergeCell ref="C39:D39"/>
    <mergeCell ref="C41:D41"/>
    <mergeCell ref="E41:F41"/>
    <mergeCell ref="C38:D38"/>
    <mergeCell ref="E38:F38"/>
    <mergeCell ref="B1:F1"/>
    <mergeCell ref="B2:F2"/>
    <mergeCell ref="B3:F3"/>
    <mergeCell ref="C36:D36"/>
    <mergeCell ref="E36:F36"/>
    <mergeCell ref="C37:D37"/>
    <mergeCell ref="E37:F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16"/>
  <sheetViews>
    <sheetView topLeftCell="A2" workbookViewId="0">
      <selection activeCell="I99" sqref="I99"/>
    </sheetView>
    <sheetView workbookViewId="1"/>
  </sheetViews>
  <sheetFormatPr baseColWidth="10" defaultRowHeight="12.95" customHeight="1" x14ac:dyDescent="0.2"/>
  <cols>
    <col min="1" max="1" width="3.42578125" style="3" customWidth="1"/>
    <col min="2" max="2" width="92.7109375" style="3" customWidth="1"/>
    <col min="3" max="3" width="8.28515625" style="3" customWidth="1"/>
    <col min="4" max="5" width="5.5703125" style="3" bestFit="1" customWidth="1"/>
    <col min="6" max="6" width="10.28515625" style="3" customWidth="1"/>
    <col min="7" max="7" width="9.140625" style="3" bestFit="1" customWidth="1"/>
    <col min="8" max="8" width="14.140625" style="3" bestFit="1" customWidth="1"/>
    <col min="9" max="9" width="15.5703125" style="3" customWidth="1"/>
    <col min="10" max="10" width="9.140625" style="3" bestFit="1" customWidth="1"/>
    <col min="11" max="11" width="7.140625" style="3" customWidth="1"/>
    <col min="12" max="12" width="6.28515625" style="3" customWidth="1"/>
    <col min="13" max="13" width="8.85546875" style="3" customWidth="1"/>
    <col min="14" max="14" width="9.140625" style="3" hidden="1" customWidth="1"/>
    <col min="15" max="15" width="7.140625" style="3" bestFit="1" customWidth="1"/>
    <col min="16" max="16" width="7.85546875" style="3" bestFit="1" customWidth="1"/>
    <col min="17" max="40" width="11.42578125" style="3" customWidth="1"/>
    <col min="41" max="16384" width="11.42578125" style="3"/>
  </cols>
  <sheetData>
    <row r="1" spans="1:16" ht="15.75" x14ac:dyDescent="0.2">
      <c r="A1" s="2"/>
      <c r="B1" s="525" t="s">
        <v>249</v>
      </c>
      <c r="C1" s="526"/>
      <c r="D1" s="526"/>
      <c r="E1" s="526"/>
      <c r="F1" s="526"/>
    </row>
    <row r="2" spans="1:16" ht="17.25" customHeight="1" x14ac:dyDescent="0.25">
      <c r="A2" s="2"/>
      <c r="B2" s="495" t="s">
        <v>34</v>
      </c>
      <c r="C2" s="495"/>
      <c r="D2" s="495"/>
      <c r="E2" s="495"/>
      <c r="F2" s="495"/>
    </row>
    <row r="3" spans="1:16" ht="18" x14ac:dyDescent="0.25">
      <c r="A3" s="2"/>
      <c r="B3" s="496" t="s">
        <v>248</v>
      </c>
      <c r="C3" s="497"/>
      <c r="D3" s="497"/>
      <c r="E3" s="497"/>
      <c r="F3" s="497"/>
    </row>
    <row r="4" spans="1:16" ht="33.75" x14ac:dyDescent="0.2">
      <c r="C4" s="227" t="s">
        <v>6</v>
      </c>
      <c r="D4" s="228" t="s">
        <v>7</v>
      </c>
      <c r="E4" s="228" t="s">
        <v>8</v>
      </c>
      <c r="F4" s="229" t="s">
        <v>214</v>
      </c>
      <c r="G4" s="230" t="s">
        <v>215</v>
      </c>
    </row>
    <row r="5" spans="1:16" ht="12.95" customHeight="1" x14ac:dyDescent="0.2">
      <c r="B5" s="232" t="s">
        <v>33</v>
      </c>
      <c r="C5" s="331">
        <v>25</v>
      </c>
      <c r="D5" s="331">
        <v>5</v>
      </c>
      <c r="E5" s="331">
        <v>5</v>
      </c>
      <c r="F5" s="231">
        <f>+'Haber Regulador'!E5</f>
        <v>42563.68</v>
      </c>
      <c r="G5" s="231">
        <f>+F5/14</f>
        <v>3040.2628571428572</v>
      </c>
      <c r="N5" s="178">
        <f>+'Tiempos de cotización'!G5+'Tiempos de cotización'!G19+'Tiempos de cotización'!G14+'Tiempos de cotización'!G27+'Tiempos de cotización'!G33</f>
        <v>0</v>
      </c>
    </row>
    <row r="6" spans="1:16" ht="12.95" customHeight="1" x14ac:dyDescent="0.2">
      <c r="B6" s="35" t="s">
        <v>32</v>
      </c>
      <c r="C6" s="331"/>
      <c r="D6" s="331"/>
      <c r="E6" s="331"/>
      <c r="F6" s="231">
        <f>+'Haber Regulador'!H5</f>
        <v>33498.68</v>
      </c>
      <c r="G6" s="231">
        <f t="shared" ref="G6:G10" si="0">+F6/14</f>
        <v>2392.7628571428572</v>
      </c>
      <c r="N6" s="178">
        <f>+'Tiempos de cotización'!G6+'Tiempos de cotización'!G20+'Tiempos de cotización'!G15+'Tiempos de cotización'!G28+'Tiempos de cotización'!G34</f>
        <v>10674</v>
      </c>
    </row>
    <row r="7" spans="1:16" ht="12.95" customHeight="1" x14ac:dyDescent="0.2">
      <c r="B7" s="34" t="s">
        <v>31</v>
      </c>
      <c r="C7" s="331"/>
      <c r="D7" s="331"/>
      <c r="E7" s="331"/>
      <c r="F7" s="231">
        <f>+'Haber Regulador'!K5</f>
        <v>29333.53</v>
      </c>
      <c r="G7" s="231">
        <f t="shared" si="0"/>
        <v>2095.2521428571426</v>
      </c>
      <c r="N7" s="178">
        <f>+'Tiempos de cotización'!G7</f>
        <v>0</v>
      </c>
    </row>
    <row r="8" spans="1:16" ht="12.95" customHeight="1" x14ac:dyDescent="0.2">
      <c r="B8" s="34" t="s">
        <v>30</v>
      </c>
      <c r="C8" s="331"/>
      <c r="D8" s="331"/>
      <c r="E8" s="331"/>
      <c r="F8" s="231">
        <f>+'Haber Regulador'!N5</f>
        <v>25727.56</v>
      </c>
      <c r="G8" s="231">
        <f t="shared" si="0"/>
        <v>1837.6828571428573</v>
      </c>
      <c r="N8" s="178">
        <f>+'Tiempos de cotización'!G8+'Tiempos de cotización'!G21</f>
        <v>1440</v>
      </c>
    </row>
    <row r="9" spans="1:16" ht="12.95" customHeight="1" x14ac:dyDescent="0.2">
      <c r="B9" s="34" t="s">
        <v>29</v>
      </c>
      <c r="C9" s="331"/>
      <c r="D9" s="331"/>
      <c r="E9" s="331"/>
      <c r="F9" s="231">
        <f>+'Haber Regulador'!Q5</f>
        <v>20354.759999999998</v>
      </c>
      <c r="G9" s="231">
        <f t="shared" si="0"/>
        <v>1453.9114285714284</v>
      </c>
      <c r="N9" s="178">
        <f>+'Tiempos de cotización'!G9+'Tiempos de cotización'!G22</f>
        <v>0</v>
      </c>
    </row>
    <row r="10" spans="1:16" ht="12.95" customHeight="1" thickBot="1" x14ac:dyDescent="0.25">
      <c r="B10" s="34" t="s">
        <v>28</v>
      </c>
      <c r="C10" s="331"/>
      <c r="D10" s="331"/>
      <c r="E10" s="331"/>
      <c r="F10" s="327">
        <f>+'Haber Regulador'!T5</f>
        <v>17354.060000000001</v>
      </c>
      <c r="G10" s="327">
        <f t="shared" si="0"/>
        <v>1239.5757142857144</v>
      </c>
      <c r="N10" s="178">
        <f>+'Tiempos de cotización'!G10+'Tiempos de cotización'!G23+'Tiempos de cotización'!G37</f>
        <v>0</v>
      </c>
    </row>
    <row r="11" spans="1:16" ht="13.5" thickBot="1" x14ac:dyDescent="0.25">
      <c r="A11" s="2"/>
      <c r="B11" s="287" t="s">
        <v>223</v>
      </c>
      <c r="C11" s="288">
        <f>INT((((+C10+C9+C8+C7+C6+C5)*365.25)+((+D10+D9+D8+D7+D6+D5)*30.4375)+(+E10+E9+E8+E7+E6+E5))/365.25)</f>
        <v>25</v>
      </c>
      <c r="D11" s="288">
        <f>INT((((((+C10+C9+C8+C7+C6+C5)*365.25)+((+D10+D9+D8+D7+D6+D5)*30.4375)+(+E10+E9+E8+E7+E6+E5))/365.25)-INT((((+C10+C9+C8+C7+C6+C5)*365.25)+((+D10+D9+D8+D7+D6+D5)*30.4375)+(+E10+E9+E8+E7+E6+E5))/365.25))*12)</f>
        <v>5</v>
      </c>
      <c r="E11" s="326">
        <f>ROUND(((((((((+C10+C9+C8+C7+C6+C5)*365.25)+((+D10+D9+D8+D7+D6+D5)*30.4375)+(+E10+E9+E8+E7+E6+E5))/365.25)-INT((((+C10+C9+C8+C7+C6+C5)*365.25)+((+D10+D9+D8+D7+D6+D5)*30.4375)+(+E10+E9+E8+E7+E6+E5))/365.25))*12)-INT((((((+C10+C9+C8+C7+C6+C5)*365.25)+((+D10+D9+D8+D7+D6+D5)*30.4375)+(+E10+E9+E8+E7+E6+E5))/365.25)-INT((((+C10+C9+C8+C7+C6+C5)*365.25)+((+D10+D9+D8+D7+D6+D5)*30.4375)+(+E10+E9+E8+E7+E6+E5))/365.25))*12))*30),0)</f>
        <v>5</v>
      </c>
      <c r="F11" s="328">
        <f>+'Haber Regulador'!I43</f>
        <v>37904.86</v>
      </c>
      <c r="G11" s="329">
        <f>+F11/14</f>
        <v>2707.4900000000002</v>
      </c>
      <c r="H11" s="330" t="s">
        <v>224</v>
      </c>
      <c r="N11" s="178">
        <f>SUM(N5:N10)</f>
        <v>12114</v>
      </c>
    </row>
    <row r="12" spans="1:16" ht="11.25" x14ac:dyDescent="0.2"/>
    <row r="13" spans="1:16" ht="12.75" hidden="1" x14ac:dyDescent="0.2">
      <c r="A13" s="2"/>
      <c r="B13" s="233"/>
      <c r="C13" s="234"/>
      <c r="D13" s="234"/>
      <c r="E13" s="234"/>
      <c r="N13" s="235"/>
    </row>
    <row r="14" spans="1:16" ht="12.75" hidden="1" x14ac:dyDescent="0.2">
      <c r="A14" s="2"/>
      <c r="B14" s="236" t="s">
        <v>216</v>
      </c>
      <c r="C14" s="237">
        <f>IF((C10*365.25)+(D10*30.4375)+(E10)&gt;0,+((((+C6*365.25)+(D6*30.4375)+E6)/365.25)+(((+C5*365.25)+(D5*30.4375)+E5)/365.25)+(((+C7*365.25)+(D7*30.4375)+E7)/365.25)+(((+C8*365.25)+(D8*30.4375)+E8)/365.25)+(((+C9*365.25)+(D9*30.4375)+E9)/365.25)+(((+C10*365.25)+(D10*30.4375)+E10)/365.25)),0)</f>
        <v>0</v>
      </c>
      <c r="D14" s="238"/>
      <c r="E14" s="239"/>
      <c r="N14" s="235"/>
    </row>
    <row r="15" spans="1:16" ht="12.75" hidden="1" x14ac:dyDescent="0.2">
      <c r="A15" s="2"/>
      <c r="B15" s="236"/>
      <c r="C15" s="240">
        <f>(+C14-C16)*365.25</f>
        <v>0</v>
      </c>
      <c r="D15" s="241">
        <f>+C15/30.4275</f>
        <v>0</v>
      </c>
      <c r="E15" s="241">
        <f>+D15-D16</f>
        <v>0</v>
      </c>
      <c r="N15" s="235"/>
    </row>
    <row r="16" spans="1:16" ht="12.75" hidden="1" x14ac:dyDescent="0.2">
      <c r="A16" s="2"/>
      <c r="B16" s="242" t="s">
        <v>217</v>
      </c>
      <c r="C16" s="243">
        <f>INT(+C14)</f>
        <v>0</v>
      </c>
      <c r="D16" s="243">
        <f>INT(+C15/30.4375)</f>
        <v>0</v>
      </c>
      <c r="E16" s="243">
        <f>INT(+E15*30.4375)</f>
        <v>0</v>
      </c>
      <c r="F16" s="3" t="s">
        <v>243</v>
      </c>
      <c r="N16" s="244">
        <f>+F10</f>
        <v>17354.060000000001</v>
      </c>
      <c r="O16" s="245">
        <f>IF($C16=1,1.24%,IF($C16=2,2.55%,IF($C16=3,3.88%,IF($C16=4,5.31%,IF($C16=5,6.83%,IF($C16=6,8.43%,IF($C16=7,10.11%,IF($C16=8,11.88%,IF($C16=9,13.73%,IF($C16=10,15.67%,IF($C16=11,17.71%,IF($C16=12,19.86%,IF($C16=13,22.1%,IF($C16=14,24.45%,IF($C16=15,26.92%,IF($C16=16,30.57%,IF($C16=17,34.23%,IF($C16=18,37.88%,IF($C16=19,41.54%,IF($C16=20,45.19%,IF($C16=21,48.84%,IF($C16=22,52.5%,IF($C16=23,56.15%,IF($C16=24,59.81%,IF($C16=25,63.46%,IF($C16=26,67.11%,IF($C16=27,70.77%,IF($C16=28,74.42%,IF($C16=29,78.08%,IF($C16=30,81.73%,IF($C16=31,85.38%,IF($C16=32,89.04%,IF($C16=33,92.69%,IF($C16=34,96.35%,IF($C16&gt;34,100%,0)))))))))))))))))))))))))))))))))))</f>
        <v>0</v>
      </c>
      <c r="P16" s="246">
        <f>+N16*O16</f>
        <v>0</v>
      </c>
    </row>
    <row r="17" spans="1:16" ht="11.25" hidden="1" x14ac:dyDescent="0.2">
      <c r="A17" s="2"/>
      <c r="B17" s="247" t="s">
        <v>216</v>
      </c>
      <c r="C17" s="248">
        <f>IF((C9*365.25)+(D9*30.4375)+(E9)&gt;0,+((((+C6*365.25)+(D6*30.4375)+E6)/365.25)+(((+C5*365.25)+(D5*30.4375)+E5)/365.25)+(((+C7*365.25)+(D7*30.4375)+E7)/365.25)+(((+C8*365.25)+(D8*30.4375)+E8)/365.25)+(((+C9*365.25)+(D9*30.4375)+E9)/365.25)),0)</f>
        <v>0</v>
      </c>
      <c r="D17" s="249"/>
      <c r="E17" s="250"/>
      <c r="P17" s="246"/>
    </row>
    <row r="18" spans="1:16" ht="11.25" hidden="1" x14ac:dyDescent="0.2">
      <c r="A18" s="2"/>
      <c r="B18" s="247"/>
      <c r="C18" s="251">
        <f>(+C17-C19)*365.25</f>
        <v>0</v>
      </c>
      <c r="D18" s="252">
        <f>+C18/30.4275</f>
        <v>0</v>
      </c>
      <c r="E18" s="252">
        <f>+D18-D19</f>
        <v>0</v>
      </c>
      <c r="P18" s="246"/>
    </row>
    <row r="19" spans="1:16" ht="12.75" hidden="1" x14ac:dyDescent="0.2">
      <c r="A19" s="2"/>
      <c r="B19" s="253" t="s">
        <v>218</v>
      </c>
      <c r="C19" s="254">
        <f>INT(+C17)</f>
        <v>0</v>
      </c>
      <c r="D19" s="254">
        <f>INT(+C18/30.4375)</f>
        <v>0</v>
      </c>
      <c r="E19" s="254">
        <f>INT(+E18*30.4375)</f>
        <v>0</v>
      </c>
      <c r="N19" s="244">
        <f>IF(C14&gt;0,F9-F10,F9)</f>
        <v>20354.759999999998</v>
      </c>
      <c r="O19" s="245">
        <f>IF($C19=1,1.24%,IF($C19=2,2.55%,IF($C19=3,3.88%,IF($C19=4,5.31%,IF($C19=5,6.83%,IF($C19=6,8.43%,IF($C19=7,10.11%,IF($C19=8,11.88%,IF($C19=9,13.73%,IF($C19=10,15.67%,IF($C19=11,17.71%,IF($C19=12,19.86%,IF($C19=13,22.1%,IF($C19=14,24.45%,IF($C19=15,26.92%,IF($C19=16,30.57%,IF($C19=17,34.23%,IF($C19=18,37.88%,IF($C19=19,41.54%,IF($C19=20,45.19%,IF($C19=21,48.84%,IF($C19=22,52.5%,IF($C19=23,56.15%,IF($C19=24,59.81%,IF($C19=25,63.46%,IF($C19=26,67.11%,IF($C19=27,70.77%,IF($C19=28,74.42%,IF($C19=29,78.08%,IF($C19=30,81.73%,IF($C19=31,85.38%,IF($C19=32,89.04%,IF($C19=33,92.69%,IF($C19=34,96.35%,IF($C19&gt;34,100%,0)))))))))))))))))))))))))))))))))))</f>
        <v>0</v>
      </c>
      <c r="P19" s="246">
        <f>+N19*O19</f>
        <v>0</v>
      </c>
    </row>
    <row r="20" spans="1:16" ht="11.25" hidden="1" x14ac:dyDescent="0.2">
      <c r="A20" s="2"/>
      <c r="B20" s="255" t="s">
        <v>216</v>
      </c>
      <c r="C20" s="256">
        <f>IF((C8*365.25)+(D8*30.4375)+(E8)&gt;0,+((((+C6*365.25)+(D6*30.4375)+E6)/365.25)+(((+C5*365.25)+(D5*30.4375)+E5)/365.25)+(((+C7*365.25)+(D7*30.4375)+E7)/365.25)+(((+C8*365.25)+(D8*30.4375)+E8)/365.25)),0)</f>
        <v>0</v>
      </c>
      <c r="D20" s="257"/>
      <c r="E20" s="258"/>
      <c r="P20" s="246"/>
    </row>
    <row r="21" spans="1:16" ht="11.25" hidden="1" x14ac:dyDescent="0.2">
      <c r="A21" s="2"/>
      <c r="B21" s="255"/>
      <c r="C21" s="259">
        <f>(+C20-C22)*365.25</f>
        <v>0</v>
      </c>
      <c r="D21" s="260">
        <f>+C21/30.4275</f>
        <v>0</v>
      </c>
      <c r="E21" s="260">
        <f>+D21-D22</f>
        <v>0</v>
      </c>
      <c r="P21" s="246"/>
    </row>
    <row r="22" spans="1:16" ht="12.75" hidden="1" x14ac:dyDescent="0.2">
      <c r="A22" s="2"/>
      <c r="B22" s="261" t="s">
        <v>219</v>
      </c>
      <c r="C22" s="262">
        <f>INT(+C20)</f>
        <v>0</v>
      </c>
      <c r="D22" s="262">
        <f>INT(+C21/30.4375)</f>
        <v>0</v>
      </c>
      <c r="E22" s="262">
        <f>INT(+E21*30.4375)</f>
        <v>0</v>
      </c>
      <c r="N22" s="244">
        <f>IF(C17&gt;0,F8-F9,IF(C14&gt;0,F8-F10,F8))</f>
        <v>25727.56</v>
      </c>
      <c r="O22" s="245">
        <f>IF($C22=1,1.24%,IF($C22=2,2.55%,IF($C22=3,3.88%,IF($C22=4,5.31%,IF($C22=5,6.83%,IF($C22=6,8.43%,IF($C22=7,10.11%,IF($C22=8,11.88%,IF($C22=9,13.73%,IF($C22=10,15.67%,IF($C22=11,17.71%,IF($C22=12,19.86%,IF($C22=13,22.1%,IF($C22=14,24.45%,IF($C22=15,26.92%,IF($C22=16,30.57%,IF($C22=17,34.23%,IF($C22=18,37.88%,IF($C22=19,41.54%,IF($C22=20,45.19%,IF($C22=21,48.84%,IF($C22=22,52.5%,IF($C22=23,56.15%,IF($C22=24,59.81%,IF($C22=25,63.46%,IF($C22=26,67.11%,IF($C22=27,70.77%,IF($C22=28,74.42%,IF($C22=29,78.08%,IF($C22=30,81.73%,IF($C22=31,85.38%,IF($C22=32,89.04%,IF($C22=33,92.69%,IF($C22=34,96.35%,IF($C22&gt;34,100%,0)))))))))))))))))))))))))))))))))))</f>
        <v>0</v>
      </c>
      <c r="P22" s="246">
        <f>+N22*O22</f>
        <v>0</v>
      </c>
    </row>
    <row r="23" spans="1:16" ht="12.75" hidden="1" x14ac:dyDescent="0.2">
      <c r="A23" s="2"/>
      <c r="B23" s="263" t="s">
        <v>216</v>
      </c>
      <c r="C23" s="264">
        <f>IF((C7*365.25)+(D7*30.4375)+(E7)&gt;0,+((((+C6*365.25)+(D6*30.4375)+E6)/365.25)+(((+C5*365.25)+(D5*30.4375)+E5)/365.25)+(((+C7*365.25)+(D7*30.4375)+E7)/365.25)),0)</f>
        <v>0</v>
      </c>
      <c r="D23" s="265"/>
      <c r="E23" s="266"/>
      <c r="N23" s="235"/>
      <c r="P23" s="246"/>
    </row>
    <row r="24" spans="1:16" ht="12.75" hidden="1" x14ac:dyDescent="0.2">
      <c r="A24" s="2"/>
      <c r="B24" s="263"/>
      <c r="C24" s="267">
        <f>(+C23-C25)*365.25</f>
        <v>0</v>
      </c>
      <c r="D24" s="268">
        <f>+C24/30.4275</f>
        <v>0</v>
      </c>
      <c r="E24" s="268">
        <f>+D24-D25</f>
        <v>0</v>
      </c>
      <c r="N24" s="235"/>
      <c r="P24" s="246"/>
    </row>
    <row r="25" spans="1:16" ht="12.75" hidden="1" x14ac:dyDescent="0.2">
      <c r="A25" s="2"/>
      <c r="B25" s="269" t="s">
        <v>220</v>
      </c>
      <c r="C25" s="270">
        <f>INT(+C23)</f>
        <v>0</v>
      </c>
      <c r="D25" s="270">
        <f>INT(+C24/30.4375)</f>
        <v>0</v>
      </c>
      <c r="E25" s="270">
        <f>INT(+E24*30.4375)</f>
        <v>0</v>
      </c>
      <c r="N25" s="244">
        <f>IF(C20&gt;0,F7-F8,IF(C17&gt;0,F7-F9,IF(C14&gt;0,F7-F10,F7)))</f>
        <v>29333.53</v>
      </c>
      <c r="O25" s="245">
        <f>IF($C25=1,1.24%,IF($C25=2,2.55%,IF($C25=3,3.88%,IF($C25=4,5.31%,IF($C25=5,6.83%,IF($C25=6,8.43%,IF($C25=7,10.11%,IF($C25=8,11.88%,IF($C25=9,13.73%,IF($C25=10,15.67%,IF($C25=11,17.71%,IF($C25=12,19.86%,IF($C25=13,22.1%,IF($C25=14,24.45%,IF($C25=15,26.92%,IF($C25=16,30.57%,IF($C25=17,34.23%,IF($C25=18,37.88%,IF($C25=19,41.54%,IF($C25=20,45.19%,IF($C25=21,48.84%,IF($C25=22,52.5%,IF($C25=23,56.15%,IF($C25=24,59.81%,IF($C25=25,63.46%,IF($C25=26,67.11%,IF($C25=27,70.77%,IF($C25=28,74.42%,IF($C25=29,78.08%,IF($C25=30,81.73%,IF($C25=31,85.38%,IF($C25=32,89.04%,IF($C25=33,92.69%,IF($C25=34,96.35%,IF($C25&gt;34,100%,0)))))))))))))))))))))))))))))))))))</f>
        <v>0</v>
      </c>
      <c r="P25" s="246">
        <f>+N25*O25</f>
        <v>0</v>
      </c>
    </row>
    <row r="26" spans="1:16" ht="11.25" hidden="1" x14ac:dyDescent="0.2">
      <c r="A26" s="2"/>
      <c r="B26" s="271" t="s">
        <v>216</v>
      </c>
      <c r="C26" s="272">
        <f>IF((C6*365.25)+(D6*30.4375)+(E6)&gt;0,+((((+C6*365.25)+(D6*30.4375)+E6)/365.25)+(((+C5*365.25)+(D5*30.4375)+E5)/365.25)),0)</f>
        <v>0</v>
      </c>
      <c r="D26" s="273"/>
      <c r="E26" s="274"/>
      <c r="P26" s="246"/>
    </row>
    <row r="27" spans="1:16" ht="11.25" hidden="1" x14ac:dyDescent="0.2">
      <c r="A27" s="2"/>
      <c r="B27" s="271"/>
      <c r="C27" s="275">
        <f>(+C26-C28)*365.25</f>
        <v>0</v>
      </c>
      <c r="D27" s="276">
        <f>+C27/30.4275</f>
        <v>0</v>
      </c>
      <c r="E27" s="276">
        <f>+D27-D28</f>
        <v>0</v>
      </c>
      <c r="P27" s="246"/>
    </row>
    <row r="28" spans="1:16" ht="12.75" hidden="1" x14ac:dyDescent="0.2">
      <c r="A28" s="2"/>
      <c r="B28" s="277" t="s">
        <v>221</v>
      </c>
      <c r="C28" s="278">
        <f>INT(+C26)</f>
        <v>0</v>
      </c>
      <c r="D28" s="278">
        <f>INT(+C27/30.4375)</f>
        <v>0</v>
      </c>
      <c r="E28" s="278">
        <f>INT(+E27*30.4375)</f>
        <v>0</v>
      </c>
      <c r="N28" s="244">
        <f>IF(C23&gt;0,F6-F7,IF(C20&gt;0,F6-F8,IF(C17&gt;0,F6-F9,IF(C14&gt;0,F6-F10,F6))))</f>
        <v>33498.68</v>
      </c>
      <c r="O28" s="245">
        <f>IF($C28=1,1.24%,IF($C28=2,2.55%,IF($C28=3,3.88%,IF($C28=4,5.31%,IF($C28=5,6.83%,IF($C28=6,8.43%,IF($C28=7,10.11%,IF($C28=8,11.88%,IF($C28=9,13.73%,IF($C28=10,15.67%,IF($C28=11,17.71%,IF($C28=12,19.86%,IF($C28=13,22.1%,IF($C28=14,24.45%,IF($C28=15,26.92%,IF($C28=16,30.57%,IF($C28=17,34.23%,IF($C28=18,37.88%,IF($C28=19,41.54%,IF($C28=20,45.19%,IF($C28=21,48.84%,IF($C28=22,52.5%,IF($C28=23,56.15%,IF($C28=24,59.81%,IF($C28=25,63.46%,IF($C28=26,67.11%,IF($C28=27,70.77%,IF($C28=28,74.42%,IF($C28=29,78.08%,IF($C28=30,81.73%,IF($C28=31,85.38%,IF($C28=32,89.04%,IF($C28=33,92.69%,IF($C28=34,96.35%,IF($C28&gt;34,100%,0)))))))))))))))))))))))))))))))))))</f>
        <v>0</v>
      </c>
      <c r="P28" s="246">
        <f>+N28*O28</f>
        <v>0</v>
      </c>
    </row>
    <row r="29" spans="1:16" ht="12.75" hidden="1" x14ac:dyDescent="0.2">
      <c r="A29" s="2"/>
      <c r="B29" s="279"/>
      <c r="C29" s="280">
        <f>IF((C5*365.25)+(D5*30.4375)+(E5)&gt;0,+((((+C5*365.25)+(D5*30.4375)+E5)/365.25)),0)</f>
        <v>25.430355920602327</v>
      </c>
      <c r="D29" s="281"/>
      <c r="E29" s="282"/>
      <c r="N29" s="244"/>
      <c r="P29" s="246"/>
    </row>
    <row r="30" spans="1:16" ht="12.75" hidden="1" x14ac:dyDescent="0.2">
      <c r="A30" s="2"/>
      <c r="B30" s="279"/>
      <c r="C30" s="283">
        <f>(+C29-C31)*365.25</f>
        <v>157.18750000000006</v>
      </c>
      <c r="D30" s="284">
        <f>+C30/30.4275</f>
        <v>5.1659682852682627</v>
      </c>
      <c r="E30" s="284">
        <f>+D30-D31</f>
        <v>0.16596828526826268</v>
      </c>
      <c r="N30" s="244"/>
      <c r="P30" s="246"/>
    </row>
    <row r="31" spans="1:16" ht="12.75" hidden="1" x14ac:dyDescent="0.2">
      <c r="A31" s="2"/>
      <c r="B31" s="279" t="s">
        <v>222</v>
      </c>
      <c r="C31" s="285">
        <f>INT(+C29)</f>
        <v>25</v>
      </c>
      <c r="D31" s="285">
        <f>INT(+C30/30.4375)</f>
        <v>5</v>
      </c>
      <c r="E31" s="285">
        <f>INT(+E30*30.4375)</f>
        <v>5</v>
      </c>
      <c r="N31" s="244">
        <f>IF(C26&gt;0,F5-F6,IF(C23&gt;0,F5-F7,IF(C20&gt;0,F5-F8,IF(C17&gt;0,F5-F9,IF(C14&gt;0,F5-F10,F5)))))</f>
        <v>42563.68</v>
      </c>
      <c r="O31" s="245">
        <f>IF($C31=1,1.24%,IF($C31=2,2.55%,IF($C31=3,3.88%,IF($C31=4,5.31%,IF($C31=5,6.83%,IF($C31=6,8.43%,IF($C31=7,10.11%,IF($C31=8,11.88%,IF($C31=9,13.73%,IF($C31=10,15.67%,IF($C31=11,17.71%,IF($C31=12,19.86%,IF($C31=13,22.1%,IF($C31=14,24.45%,IF($C31=15,26.92%,IF($C31=16,30.57%,IF($C31=17,34.23%,IF($C31=18,37.88%,IF($C31=19,41.54%,IF($C31=20,45.19%,IF($C31=21,48.84%,IF($C31=22,52.5%,IF($C31=23,56.15%,IF($C31=24,59.81%,IF($C31=25,63.46%,IF($C31=26,67.11%,IF($C31=27,70.77%,IF($C31=28,74.42%,IF($C31=29,78.08%,IF($C31=30,81.73%,IF($C31=31,85.38%,IF($C31=32,89.04%,IF($C31=33,92.69%,IF($C31=34,96.35%,IF($C31&gt;34,100%,0)))))))))))))))))))))))))))))))))))</f>
        <v>0.63460000000000005</v>
      </c>
      <c r="P31" s="246">
        <f>+N31*O31</f>
        <v>27010.911328000002</v>
      </c>
    </row>
    <row r="32" spans="1:16" ht="11.25" hidden="1" x14ac:dyDescent="0.2">
      <c r="A32" s="2"/>
      <c r="B32" s="279"/>
      <c r="C32" s="286"/>
      <c r="D32" s="286"/>
      <c r="E32" s="286"/>
      <c r="F32" s="2"/>
      <c r="L32" s="246"/>
    </row>
    <row r="33" spans="1:10" ht="11.25" hidden="1" x14ac:dyDescent="0.2"/>
    <row r="34" spans="1:10" ht="11.25" hidden="1" x14ac:dyDescent="0.2"/>
    <row r="35" spans="1:10" ht="11.25" hidden="1" x14ac:dyDescent="0.2"/>
    <row r="36" spans="1:10" ht="15.75" hidden="1" x14ac:dyDescent="0.2">
      <c r="B36" s="293" t="s">
        <v>227</v>
      </c>
      <c r="C36" s="523">
        <f>+E36/14</f>
        <v>1929.3508091428573</v>
      </c>
      <c r="D36" s="524"/>
      <c r="E36" s="523">
        <f>IF((P31+P28+P25+P22+P19+P16)&gt;F11,F11,(+P31+P28+P25+P22+P19+P16))</f>
        <v>27010.911328000002</v>
      </c>
      <c r="F36" s="524"/>
    </row>
    <row r="37" spans="1:10" ht="3" customHeight="1" x14ac:dyDescent="0.2"/>
    <row r="38" spans="1:10" ht="15.75" x14ac:dyDescent="0.2">
      <c r="A38" s="295"/>
      <c r="B38" s="332"/>
      <c r="C38" s="531" t="s">
        <v>244</v>
      </c>
      <c r="D38" s="531"/>
      <c r="E38" s="531"/>
      <c r="F38" s="531"/>
      <c r="G38" s="531"/>
      <c r="H38" s="295"/>
      <c r="I38" s="295"/>
      <c r="J38" s="295"/>
    </row>
    <row r="39" spans="1:10" ht="15.75" x14ac:dyDescent="0.2">
      <c r="A39" s="295"/>
      <c r="B39" s="332"/>
      <c r="C39" s="531" t="s">
        <v>244</v>
      </c>
      <c r="D39" s="531"/>
      <c r="E39" s="531"/>
      <c r="F39" s="531"/>
      <c r="G39" s="531"/>
      <c r="H39" s="295"/>
      <c r="I39" s="295"/>
      <c r="J39" s="295"/>
    </row>
    <row r="40" spans="1:10" ht="15.75" x14ac:dyDescent="0.2">
      <c r="A40" s="295"/>
      <c r="B40" s="332"/>
      <c r="C40" s="531" t="s">
        <v>244</v>
      </c>
      <c r="D40" s="531"/>
      <c r="E40" s="531"/>
      <c r="F40" s="531"/>
      <c r="G40" s="531"/>
      <c r="H40" s="295"/>
      <c r="I40" s="295"/>
      <c r="J40" s="295"/>
    </row>
    <row r="41" spans="1:10" ht="8.25" customHeight="1" x14ac:dyDescent="0.2">
      <c r="A41" s="295"/>
      <c r="B41" s="322"/>
      <c r="C41" s="295"/>
      <c r="D41" s="295"/>
      <c r="E41" s="295"/>
      <c r="F41" s="295"/>
      <c r="G41" s="295"/>
      <c r="H41" s="295"/>
      <c r="I41" s="295"/>
      <c r="J41" s="295"/>
    </row>
    <row r="42" spans="1:10" ht="27" customHeight="1" x14ac:dyDescent="0.2">
      <c r="A42" s="295"/>
      <c r="B42" s="321" t="s">
        <v>328</v>
      </c>
      <c r="C42" s="527" t="s">
        <v>225</v>
      </c>
      <c r="D42" s="528"/>
      <c r="E42" s="527" t="s">
        <v>226</v>
      </c>
      <c r="F42" s="528"/>
      <c r="G42" s="295"/>
      <c r="H42" s="295"/>
      <c r="I42" s="295"/>
      <c r="J42" s="295"/>
    </row>
    <row r="43" spans="1:10" ht="15.75" hidden="1" x14ac:dyDescent="0.2">
      <c r="B43" s="293" t="s">
        <v>227</v>
      </c>
      <c r="C43" s="523">
        <f>+C36</f>
        <v>1929.3508091428573</v>
      </c>
      <c r="D43" s="524"/>
      <c r="E43" s="523">
        <f>+C43*14</f>
        <v>27010.911328000002</v>
      </c>
      <c r="F43" s="524"/>
      <c r="G43" s="310" t="str">
        <f>IF(C43&gt;G11-0.001,"  Pensión Máxima"," ")</f>
        <v xml:space="preserve"> </v>
      </c>
      <c r="H43" s="311"/>
      <c r="I43" s="295"/>
      <c r="J43" s="295"/>
    </row>
    <row r="44" spans="1:10" ht="15.75" hidden="1" x14ac:dyDescent="0.2">
      <c r="B44" s="294"/>
      <c r="C44" s="529"/>
      <c r="D44" s="530"/>
      <c r="E44" s="523">
        <f>+E43+(E43*C60)</f>
        <v>27010.911328000002</v>
      </c>
      <c r="F44" s="524"/>
      <c r="G44" s="294"/>
      <c r="H44" s="294"/>
      <c r="I44" s="295"/>
      <c r="J44" s="295"/>
    </row>
    <row r="45" spans="1:10" ht="15.75" hidden="1" x14ac:dyDescent="0.2">
      <c r="B45" s="294"/>
      <c r="C45" s="319"/>
      <c r="D45" s="320"/>
      <c r="E45" s="523">
        <f>IF(E44&gt;F11,F11+((E44-F11)/2),E44)</f>
        <v>27010.911328000002</v>
      </c>
      <c r="F45" s="524"/>
      <c r="G45" s="294"/>
      <c r="H45" s="294"/>
      <c r="I45" s="295"/>
      <c r="J45" s="295"/>
    </row>
    <row r="46" spans="1:10" ht="15.75" x14ac:dyDescent="0.2">
      <c r="B46" s="323" t="str">
        <f>IF(C60&gt;0%,"Importe Bruto. Mujeres Incremento de pensión en jubilación forzosa o incapacidad con 2 o más hijos","Importe Bruto")</f>
        <v>Importe Bruto</v>
      </c>
      <c r="C46" s="523">
        <f>+E46/14</f>
        <v>1929.3508091428573</v>
      </c>
      <c r="D46" s="524"/>
      <c r="E46" s="523">
        <f>+E45</f>
        <v>27010.911328000002</v>
      </c>
      <c r="F46" s="524"/>
      <c r="G46" s="308" t="str">
        <f>IF(E46&gt;F11,"  Mujer por jubilación forzosa o incapacidad puede pasar de la pensión máxima","")</f>
        <v/>
      </c>
      <c r="H46" s="294"/>
      <c r="I46" s="295"/>
      <c r="J46" s="295"/>
    </row>
    <row r="47" spans="1:10" ht="11.25" customHeight="1" x14ac:dyDescent="0.2"/>
    <row r="48" spans="1:10" ht="11.25" customHeight="1" x14ac:dyDescent="0.2"/>
    <row r="49" spans="2:16" ht="11.25" customHeight="1" x14ac:dyDescent="0.2"/>
    <row r="50" spans="2:16" ht="11.25" customHeight="1" x14ac:dyDescent="0.2"/>
    <row r="51" spans="2:16" ht="11.25" customHeight="1" x14ac:dyDescent="0.2"/>
    <row r="52" spans="2:16" ht="11.25" customHeight="1" x14ac:dyDescent="0.2"/>
    <row r="53" spans="2:16" ht="11.25" x14ac:dyDescent="0.2">
      <c r="C53" s="227" t="s">
        <v>8</v>
      </c>
      <c r="D53" s="227" t="s">
        <v>6</v>
      </c>
      <c r="E53" s="227" t="s">
        <v>7</v>
      </c>
      <c r="F53" s="227" t="s">
        <v>8</v>
      </c>
    </row>
    <row r="54" spans="2:16" ht="11.25" x14ac:dyDescent="0.2">
      <c r="B54" s="3" t="s">
        <v>229</v>
      </c>
      <c r="C54" s="296">
        <v>46968</v>
      </c>
      <c r="D54" s="227">
        <f>ROUNDDOWN(+C54/365.25,0)</f>
        <v>128</v>
      </c>
      <c r="E54" s="227">
        <f>ROUNDDOWN((+C54/365.25-D54)*12,0)</f>
        <v>7</v>
      </c>
      <c r="F54" s="227">
        <f>ROUNDDOWN((((+C54/365.25-D54)*12)-E54)*30.4375,0)</f>
        <v>2</v>
      </c>
      <c r="M54" s="246"/>
    </row>
    <row r="55" spans="2:16" ht="11.25" x14ac:dyDescent="0.2">
      <c r="B55" s="3" t="s">
        <v>230</v>
      </c>
      <c r="C55" s="324">
        <f>ROUNDUP(+(D55*365.25)+(E55*30.4375)+F55,0)+1</f>
        <v>10475</v>
      </c>
      <c r="D55" s="325">
        <v>28</v>
      </c>
      <c r="E55" s="325">
        <v>8</v>
      </c>
      <c r="F55" s="325">
        <v>3</v>
      </c>
      <c r="M55" s="177"/>
    </row>
    <row r="56" spans="2:16" ht="11.25" x14ac:dyDescent="0.2"/>
    <row r="57" spans="2:16" ht="11.25" hidden="1" x14ac:dyDescent="0.2">
      <c r="C57" s="3">
        <f>+B40</f>
        <v>0</v>
      </c>
    </row>
    <row r="58" spans="2:16" ht="11.25" hidden="1" x14ac:dyDescent="0.2">
      <c r="C58" s="89">
        <f>+B38</f>
        <v>0</v>
      </c>
    </row>
    <row r="59" spans="2:16" ht="11.25" hidden="1" x14ac:dyDescent="0.2">
      <c r="C59" s="89">
        <f>IF(B39=B71,C71,IF(B39=B72,C72,IF(B39=B73,C73,C70)))</f>
        <v>1</v>
      </c>
    </row>
    <row r="60" spans="2:16" ht="11.25" hidden="1" x14ac:dyDescent="0.2">
      <c r="C60" s="304">
        <f>IF(AND(C58="Mujer",C59=2,OR(C57=B62,C57=B63,C57=B64)),5%,IF(AND(C58="Mujer",C59=3,OR(C57=B62,C57=B63,C57=B64)),10%,IF(AND(C58="Mujer",C59&gt;3,OR(C57=B62,C57=B63,C57=B64)),15%,0%)))</f>
        <v>0</v>
      </c>
      <c r="D60" s="306">
        <f>IF(E44&gt;F11,C60/2,C60)</f>
        <v>0</v>
      </c>
    </row>
    <row r="61" spans="2:16" ht="11.25" hidden="1" x14ac:dyDescent="0.2">
      <c r="B61" s="2" t="s">
        <v>89</v>
      </c>
    </row>
    <row r="62" spans="2:16" ht="11.25" hidden="1" x14ac:dyDescent="0.2">
      <c r="B62" s="2" t="s">
        <v>88</v>
      </c>
    </row>
    <row r="63" spans="2:16" ht="11.25" hidden="1" x14ac:dyDescent="0.2">
      <c r="B63" s="2" t="s">
        <v>14</v>
      </c>
    </row>
    <row r="64" spans="2:16" ht="11.25" hidden="1" x14ac:dyDescent="0.2">
      <c r="B64" s="2" t="s">
        <v>15</v>
      </c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7"/>
    </row>
    <row r="65" spans="2:16" ht="11.25" hidden="1" x14ac:dyDescent="0.2">
      <c r="B65" s="297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</row>
    <row r="66" spans="2:16" ht="11.25" hidden="1" x14ac:dyDescent="0.2">
      <c r="B66" s="297" t="s">
        <v>87</v>
      </c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</row>
    <row r="67" spans="2:16" ht="11.25" hidden="1" x14ac:dyDescent="0.2">
      <c r="B67" s="297" t="s">
        <v>126</v>
      </c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</row>
    <row r="68" spans="2:16" ht="11.25" hidden="1" x14ac:dyDescent="0.2"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</row>
    <row r="69" spans="2:16" ht="11.25" hidden="1" x14ac:dyDescent="0.2"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</row>
    <row r="70" spans="2:16" ht="11.25" hidden="1" x14ac:dyDescent="0.2">
      <c r="B70" s="297"/>
      <c r="C70" s="297">
        <v>1</v>
      </c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</row>
    <row r="71" spans="2:16" ht="11.25" hidden="1" x14ac:dyDescent="0.2">
      <c r="B71" s="297" t="s">
        <v>245</v>
      </c>
      <c r="C71" s="297">
        <v>2</v>
      </c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297"/>
    </row>
    <row r="72" spans="2:16" ht="11.25" hidden="1" x14ac:dyDescent="0.2">
      <c r="B72" s="297" t="s">
        <v>246</v>
      </c>
      <c r="C72" s="297">
        <v>3</v>
      </c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</row>
    <row r="73" spans="2:16" ht="11.25" hidden="1" x14ac:dyDescent="0.2">
      <c r="B73" s="333" t="s">
        <v>247</v>
      </c>
      <c r="C73" s="297">
        <v>4</v>
      </c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297"/>
    </row>
    <row r="74" spans="2:16" ht="11.25" hidden="1" x14ac:dyDescent="0.2"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</row>
    <row r="75" spans="2:16" ht="11.25" hidden="1" x14ac:dyDescent="0.2">
      <c r="B75" s="297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</row>
    <row r="76" spans="2:16" ht="11.25" hidden="1" x14ac:dyDescent="0.2"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</row>
    <row r="77" spans="2:16" ht="11.25" hidden="1" x14ac:dyDescent="0.2">
      <c r="B77" s="297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</row>
    <row r="78" spans="2:16" ht="11.25" hidden="1" x14ac:dyDescent="0.2"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</row>
    <row r="79" spans="2:16" ht="11.25" hidden="1" x14ac:dyDescent="0.2"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</row>
    <row r="80" spans="2:16" ht="11.25" hidden="1" x14ac:dyDescent="0.2">
      <c r="B80" s="297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</row>
    <row r="81" spans="2:16" ht="11.25" hidden="1" x14ac:dyDescent="0.2"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</row>
    <row r="82" spans="2:16" ht="11.25" hidden="1" x14ac:dyDescent="0.2">
      <c r="B82" s="297"/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</row>
    <row r="83" spans="2:16" ht="11.25" hidden="1" x14ac:dyDescent="0.2">
      <c r="B83" s="297"/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</row>
    <row r="84" spans="2:16" ht="11.25" hidden="1" x14ac:dyDescent="0.2">
      <c r="B84" s="297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</row>
    <row r="85" spans="2:16" ht="11.25" hidden="1" x14ac:dyDescent="0.2">
      <c r="B85" s="297"/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</row>
    <row r="86" spans="2:16" ht="11.25" hidden="1" x14ac:dyDescent="0.2"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</row>
    <row r="87" spans="2:16" ht="11.25" hidden="1" x14ac:dyDescent="0.2"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</row>
    <row r="88" spans="2:16" ht="11.25" hidden="1" x14ac:dyDescent="0.2">
      <c r="B88" s="297"/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</row>
    <row r="89" spans="2:16" ht="11.25" hidden="1" x14ac:dyDescent="0.2">
      <c r="B89" s="297"/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</row>
    <row r="90" spans="2:16" ht="11.25" hidden="1" x14ac:dyDescent="0.2">
      <c r="B90" s="297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</row>
    <row r="91" spans="2:16" ht="11.25" hidden="1" x14ac:dyDescent="0.2">
      <c r="B91" s="297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</row>
    <row r="92" spans="2:16" ht="11.25" hidden="1" x14ac:dyDescent="0.2"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</row>
    <row r="93" spans="2:16" ht="11.25" hidden="1" x14ac:dyDescent="0.2"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</row>
    <row r="94" spans="2:16" ht="11.25" hidden="1" x14ac:dyDescent="0.2"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</row>
    <row r="95" spans="2:16" ht="11.25" x14ac:dyDescent="0.2"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</row>
    <row r="96" spans="2:16" ht="11.25" x14ac:dyDescent="0.2"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</row>
    <row r="97" spans="2:16" ht="11.25" x14ac:dyDescent="0.2"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</row>
    <row r="98" spans="2:16" ht="11.25" x14ac:dyDescent="0.2"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</row>
    <row r="99" spans="2:16" ht="11.25" x14ac:dyDescent="0.2">
      <c r="B99" s="297"/>
      <c r="C99" s="297"/>
      <c r="D99" s="297"/>
      <c r="E99" s="297"/>
      <c r="F99" s="375"/>
      <c r="G99" s="297"/>
      <c r="H99" s="297"/>
      <c r="I99" s="297"/>
      <c r="J99" s="297"/>
      <c r="K99" s="297"/>
      <c r="L99" s="297"/>
      <c r="M99" s="297"/>
      <c r="N99" s="297"/>
      <c r="O99" s="297"/>
      <c r="P99" s="297"/>
    </row>
    <row r="100" spans="2:16" ht="11.25" x14ac:dyDescent="0.2">
      <c r="B100" s="297"/>
      <c r="C100" s="297"/>
      <c r="D100" s="297"/>
      <c r="E100" s="297"/>
      <c r="F100" s="375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</row>
    <row r="101" spans="2:16" ht="11.25" x14ac:dyDescent="0.2">
      <c r="B101" s="297"/>
      <c r="C101" s="297"/>
      <c r="D101" s="297"/>
      <c r="E101" s="297"/>
      <c r="F101" s="375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</row>
    <row r="102" spans="2:16" ht="11.25" x14ac:dyDescent="0.2"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</row>
    <row r="103" spans="2:16" ht="11.25" x14ac:dyDescent="0.2">
      <c r="B103" s="297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</row>
    <row r="104" spans="2:16" ht="11.25" x14ac:dyDescent="0.2"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</row>
    <row r="105" spans="2:16" ht="11.25" x14ac:dyDescent="0.2">
      <c r="B105" s="297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</row>
    <row r="106" spans="2:16" ht="11.25" x14ac:dyDescent="0.2">
      <c r="B106" s="297"/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</row>
    <row r="107" spans="2:16" ht="11.25" x14ac:dyDescent="0.2">
      <c r="B107" s="297"/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</row>
    <row r="108" spans="2:16" ht="11.25" x14ac:dyDescent="0.2">
      <c r="B108" s="297"/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</row>
    <row r="109" spans="2:16" ht="11.25" x14ac:dyDescent="0.2"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</row>
    <row r="110" spans="2:16" ht="11.25" x14ac:dyDescent="0.2">
      <c r="B110" s="297"/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</row>
    <row r="111" spans="2:16" ht="11.25" x14ac:dyDescent="0.2"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</row>
    <row r="112" spans="2:16" ht="11.25" x14ac:dyDescent="0.2"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</row>
    <row r="113" spans="2:16" ht="11.25" x14ac:dyDescent="0.2"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</row>
    <row r="114" spans="2:16" ht="11.25" x14ac:dyDescent="0.2"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</row>
    <row r="115" spans="2:16" ht="11.25" x14ac:dyDescent="0.2"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</row>
    <row r="116" spans="2:16" ht="11.25" x14ac:dyDescent="0.2"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</row>
  </sheetData>
  <sheetProtection algorithmName="SHA-512" hashValue="v+Howoou0GeKR2UkFZMKkNsshB9KMS1N7+Ok6XkGo56XxgqgoBSeYQUch2fExT0N+r4610EaOJW0GA3yPByi/w==" saltValue="G9Toxj7zsJgqrHRZ5ot5tA==" spinCount="100000" sheet="1" selectLockedCells="1"/>
  <mergeCells count="17">
    <mergeCell ref="B1:F1"/>
    <mergeCell ref="B2:F2"/>
    <mergeCell ref="B3:F3"/>
    <mergeCell ref="C42:D42"/>
    <mergeCell ref="E42:F42"/>
    <mergeCell ref="C36:D36"/>
    <mergeCell ref="E36:F36"/>
    <mergeCell ref="C39:G39"/>
    <mergeCell ref="C38:G38"/>
    <mergeCell ref="C40:G40"/>
    <mergeCell ref="C46:D46"/>
    <mergeCell ref="E46:F46"/>
    <mergeCell ref="C43:D43"/>
    <mergeCell ref="E43:F43"/>
    <mergeCell ref="C44:D44"/>
    <mergeCell ref="E44:F44"/>
    <mergeCell ref="E45:F45"/>
  </mergeCells>
  <dataValidations count="4">
    <dataValidation type="list" allowBlank="1" showInputMessage="1" showErrorMessage="1" sqref="B41" xr:uid="{00000000-0002-0000-1200-000000000000}">
      <formula1>$B$61:$B$64</formula1>
    </dataValidation>
    <dataValidation type="list" allowBlank="1" showInputMessage="1" showErrorMessage="1" sqref="B38" xr:uid="{00000000-0002-0000-1200-000001000000}">
      <formula1>$B$65:$B$67</formula1>
    </dataValidation>
    <dataValidation type="list" allowBlank="1" showInputMessage="1" showErrorMessage="1" sqref="B39" xr:uid="{00000000-0002-0000-1200-000002000000}">
      <formula1>$B$70:$B$73</formula1>
    </dataValidation>
    <dataValidation type="list" allowBlank="1" showInputMessage="1" showErrorMessage="1" sqref="B40" xr:uid="{00000000-0002-0000-1200-000003000000}">
      <formula1>$B$60:$B$64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E217"/>
  <sheetViews>
    <sheetView workbookViewId="0">
      <selection activeCell="T40" sqref="T40"/>
    </sheetView>
    <sheetView workbookViewId="1"/>
  </sheetViews>
  <sheetFormatPr baseColWidth="10" defaultRowHeight="12.75" x14ac:dyDescent="0.2"/>
  <cols>
    <col min="1" max="1" width="3.140625" style="1" customWidth="1"/>
    <col min="2" max="2" width="2.42578125" style="1" customWidth="1"/>
    <col min="3" max="3" width="37.140625" style="1" customWidth="1"/>
    <col min="4" max="4" width="12.28515625" style="1" customWidth="1"/>
    <col min="5" max="5" width="1.7109375" style="1" customWidth="1"/>
    <col min="6" max="6" width="11" style="1" customWidth="1"/>
    <col min="7" max="7" width="1.7109375" style="1" customWidth="1"/>
    <col min="8" max="8" width="11.5703125" style="1" bestFit="1" customWidth="1"/>
    <col min="9" max="9" width="1.7109375" style="1" customWidth="1"/>
    <col min="10" max="10" width="11.28515625" style="1" customWidth="1"/>
    <col min="11" max="11" width="1.7109375" style="1" customWidth="1"/>
    <col min="12" max="12" width="11.42578125" style="1" customWidth="1"/>
    <col min="13" max="13" width="1.7109375" style="1" customWidth="1"/>
    <col min="14" max="14" width="11.42578125" style="1" customWidth="1"/>
    <col min="15" max="15" width="1" style="1" customWidth="1"/>
    <col min="16" max="16" width="2.85546875" style="1" customWidth="1"/>
    <col min="17" max="17" width="3.7109375" style="1" customWidth="1"/>
    <col min="18" max="18" width="11.42578125" style="1" customWidth="1"/>
    <col min="19" max="16384" width="11.42578125" style="1"/>
  </cols>
  <sheetData>
    <row r="1" spans="1:31" ht="18" x14ac:dyDescent="0.25">
      <c r="A1" s="119"/>
      <c r="B1" s="120"/>
      <c r="C1" s="481" t="s">
        <v>346</v>
      </c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118"/>
      <c r="Q1" s="118"/>
      <c r="R1" s="16"/>
      <c r="S1" s="16"/>
      <c r="T1" s="16"/>
      <c r="U1" s="16"/>
      <c r="V1" s="16"/>
      <c r="W1" s="16"/>
      <c r="X1" s="16"/>
      <c r="Y1" s="16"/>
      <c r="AB1" s="16"/>
      <c r="AC1" s="16"/>
      <c r="AD1" s="16"/>
      <c r="AE1" s="16"/>
    </row>
    <row r="2" spans="1:31" ht="18" x14ac:dyDescent="0.25">
      <c r="A2" s="119"/>
      <c r="B2" s="120"/>
      <c r="C2" s="454" t="s">
        <v>101</v>
      </c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118"/>
      <c r="Q2" s="119"/>
      <c r="R2" s="16"/>
      <c r="S2" s="16"/>
      <c r="T2" s="16"/>
      <c r="U2" s="16"/>
      <c r="V2" s="16"/>
      <c r="W2" s="16"/>
      <c r="X2" s="16"/>
      <c r="Y2" s="16"/>
      <c r="AB2" s="16"/>
      <c r="AC2" s="16"/>
      <c r="AD2" s="16"/>
      <c r="AE2" s="16"/>
    </row>
    <row r="3" spans="1:31" ht="3" customHeight="1" x14ac:dyDescent="0.25">
      <c r="A3" s="119"/>
      <c r="B3" s="120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18"/>
      <c r="Q3" s="119"/>
      <c r="R3" s="16"/>
      <c r="S3" s="16"/>
      <c r="T3" s="16"/>
      <c r="U3" s="16"/>
      <c r="V3" s="16"/>
      <c r="W3" s="16"/>
      <c r="X3" s="16"/>
      <c r="Y3" s="16"/>
      <c r="AB3" s="16"/>
      <c r="AC3" s="16"/>
      <c r="AD3" s="16"/>
      <c r="AE3" s="16"/>
    </row>
    <row r="4" spans="1:31" ht="13.5" customHeight="1" x14ac:dyDescent="0.25">
      <c r="A4" s="119"/>
      <c r="B4" s="120"/>
      <c r="C4" s="460" t="s">
        <v>191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118"/>
      <c r="Q4" s="119"/>
      <c r="R4" s="16"/>
      <c r="S4" s="16"/>
      <c r="T4" s="16"/>
      <c r="U4" s="16"/>
      <c r="V4" s="16"/>
      <c r="W4" s="16"/>
      <c r="X4" s="16"/>
      <c r="Y4" s="16"/>
      <c r="AB4" s="16"/>
      <c r="AC4" s="16"/>
      <c r="AD4" s="16"/>
      <c r="AE4" s="16"/>
    </row>
    <row r="5" spans="1:31" ht="4.5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6"/>
      <c r="S5" s="16"/>
      <c r="T5" s="16"/>
      <c r="U5" s="16"/>
      <c r="V5" s="16"/>
      <c r="W5" s="16"/>
      <c r="X5" s="16"/>
      <c r="Y5" s="16"/>
      <c r="AB5" s="16"/>
      <c r="AC5" s="16"/>
      <c r="AD5" s="16"/>
      <c r="AE5" s="16"/>
    </row>
    <row r="6" spans="1:31" ht="3" customHeight="1" x14ac:dyDescent="0.2">
      <c r="A6" s="119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19"/>
      <c r="R6" s="16"/>
      <c r="S6" s="16"/>
      <c r="T6" s="16"/>
      <c r="U6" s="16"/>
      <c r="V6" s="16"/>
      <c r="W6" s="16"/>
      <c r="X6" s="16"/>
      <c r="Y6" s="16"/>
    </row>
    <row r="7" spans="1:31" ht="15" x14ac:dyDescent="0.25">
      <c r="A7" s="119"/>
      <c r="B7" s="121"/>
      <c r="C7" s="122" t="s">
        <v>106</v>
      </c>
      <c r="D7" s="487" t="str">
        <f>+Datos!E9</f>
        <v>Jubilación Anticipada (60 años y 30 años de Servicio)</v>
      </c>
      <c r="E7" s="487"/>
      <c r="F7" s="487"/>
      <c r="G7" s="487"/>
      <c r="H7" s="487"/>
      <c r="I7" s="487"/>
      <c r="J7" s="487"/>
      <c r="K7" s="121"/>
      <c r="L7" s="121"/>
      <c r="M7" s="121"/>
      <c r="N7" s="121"/>
      <c r="O7" s="121"/>
      <c r="P7" s="121"/>
      <c r="Q7" s="119"/>
      <c r="R7" s="16"/>
      <c r="S7" s="16"/>
      <c r="T7" s="16"/>
      <c r="U7" s="16"/>
      <c r="V7" s="16"/>
      <c r="W7" s="16"/>
      <c r="X7" s="16"/>
      <c r="Y7" s="16"/>
    </row>
    <row r="8" spans="1:31" ht="3" customHeight="1" x14ac:dyDescent="0.2">
      <c r="A8" s="119"/>
      <c r="B8" s="121"/>
      <c r="C8" s="123"/>
      <c r="D8" s="124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19"/>
      <c r="R8" s="16"/>
      <c r="S8" s="16"/>
      <c r="T8" s="16"/>
      <c r="U8" s="16"/>
      <c r="V8" s="16"/>
      <c r="W8" s="16"/>
      <c r="X8" s="16"/>
      <c r="Y8" s="16"/>
    </row>
    <row r="9" spans="1:31" ht="15" x14ac:dyDescent="0.25">
      <c r="A9" s="119"/>
      <c r="B9" s="121"/>
      <c r="C9" s="122" t="s">
        <v>108</v>
      </c>
      <c r="D9" s="487" t="str">
        <f>+Datos!E11</f>
        <v>Maestros</v>
      </c>
      <c r="E9" s="487"/>
      <c r="F9" s="487"/>
      <c r="G9" s="487"/>
      <c r="H9" s="487"/>
      <c r="I9" s="487"/>
      <c r="J9" s="487"/>
      <c r="K9" s="121"/>
      <c r="L9" s="121"/>
      <c r="M9" s="121"/>
      <c r="N9" s="121"/>
      <c r="O9" s="121"/>
      <c r="P9" s="121"/>
      <c r="Q9" s="119"/>
      <c r="R9" s="16"/>
      <c r="S9" s="16"/>
      <c r="T9" s="16"/>
      <c r="U9" s="16"/>
      <c r="V9" s="16"/>
      <c r="W9" s="16"/>
      <c r="X9" s="16"/>
      <c r="Y9" s="16"/>
    </row>
    <row r="10" spans="1:31" ht="3" customHeight="1" x14ac:dyDescent="0.2">
      <c r="A10" s="119"/>
      <c r="B10" s="121"/>
      <c r="C10" s="123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19"/>
      <c r="R10" s="16"/>
      <c r="S10" s="16"/>
      <c r="T10" s="16"/>
      <c r="U10" s="16"/>
      <c r="V10" s="16"/>
      <c r="W10" s="16"/>
      <c r="X10" s="16"/>
      <c r="Y10" s="16"/>
    </row>
    <row r="11" spans="1:31" ht="15" x14ac:dyDescent="0.25">
      <c r="A11" s="119"/>
      <c r="B11" s="121"/>
      <c r="C11" s="122" t="s">
        <v>109</v>
      </c>
      <c r="D11" s="484" t="str">
        <f>+Datos!S17</f>
        <v>Isla Capitalina</v>
      </c>
      <c r="E11" s="484"/>
      <c r="F11" s="484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19"/>
      <c r="R11" s="16"/>
      <c r="S11" s="16"/>
      <c r="T11" s="16"/>
      <c r="U11" s="16"/>
      <c r="V11" s="16"/>
      <c r="W11" s="175"/>
      <c r="X11" s="175"/>
      <c r="Y11" s="16"/>
    </row>
    <row r="12" spans="1:31" ht="3" customHeight="1" x14ac:dyDescent="0.2">
      <c r="A12" s="119"/>
      <c r="B12" s="121"/>
      <c r="C12" s="123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19"/>
      <c r="R12" s="16"/>
      <c r="S12" s="16"/>
      <c r="T12" s="16"/>
      <c r="U12" s="16"/>
      <c r="V12" s="16"/>
      <c r="W12" s="16"/>
      <c r="X12" s="16"/>
      <c r="Y12" s="16"/>
    </row>
    <row r="13" spans="1:31" ht="15" x14ac:dyDescent="0.25">
      <c r="A13" s="119"/>
      <c r="B13" s="121"/>
      <c r="C13" s="122" t="s">
        <v>107</v>
      </c>
      <c r="D13" s="125">
        <f>+Datos!E13</f>
        <v>22310</v>
      </c>
      <c r="E13" s="121"/>
      <c r="F13" s="122" t="s">
        <v>198</v>
      </c>
      <c r="G13" s="121"/>
      <c r="H13" s="121"/>
      <c r="I13" s="121"/>
      <c r="J13" s="374">
        <f>+D13+21915</f>
        <v>44225</v>
      </c>
      <c r="K13" s="121"/>
      <c r="L13" s="121"/>
      <c r="M13" s="121"/>
      <c r="N13" s="121"/>
      <c r="O13" s="121"/>
      <c r="P13" s="121"/>
      <c r="Q13" s="119"/>
      <c r="R13" s="16"/>
      <c r="S13" s="16"/>
      <c r="T13" s="16"/>
      <c r="U13" s="16"/>
      <c r="V13" s="16"/>
      <c r="W13" s="175"/>
      <c r="X13" s="175"/>
      <c r="Y13" s="16"/>
    </row>
    <row r="14" spans="1:31" ht="3" customHeight="1" x14ac:dyDescent="0.25">
      <c r="A14" s="119"/>
      <c r="B14" s="121"/>
      <c r="C14" s="122"/>
      <c r="D14" s="124"/>
      <c r="E14" s="121"/>
      <c r="F14" s="121"/>
      <c r="G14" s="121"/>
      <c r="H14" s="121"/>
      <c r="I14" s="121"/>
      <c r="J14" s="124"/>
      <c r="K14" s="121"/>
      <c r="L14" s="121"/>
      <c r="M14" s="121"/>
      <c r="N14" s="121"/>
      <c r="O14" s="121"/>
      <c r="P14" s="121"/>
      <c r="Q14" s="119"/>
      <c r="R14" s="16"/>
      <c r="S14" s="16"/>
      <c r="T14" s="16"/>
      <c r="U14" s="16"/>
      <c r="V14" s="16"/>
      <c r="W14" s="16"/>
      <c r="X14" s="16"/>
      <c r="Y14" s="16"/>
    </row>
    <row r="15" spans="1:31" ht="15" x14ac:dyDescent="0.25">
      <c r="A15" s="119"/>
      <c r="B15" s="121"/>
      <c r="C15" s="122" t="s">
        <v>136</v>
      </c>
      <c r="D15" s="125">
        <f>+Datos!E15</f>
        <v>44489</v>
      </c>
      <c r="E15" s="121"/>
      <c r="F15" s="122" t="s">
        <v>199</v>
      </c>
      <c r="G15" s="121"/>
      <c r="H15" s="121"/>
      <c r="I15" s="121"/>
      <c r="J15" s="374">
        <f>+D13+23741</f>
        <v>46051</v>
      </c>
      <c r="K15" s="121"/>
      <c r="L15" s="121"/>
      <c r="M15" s="121"/>
      <c r="N15" s="121"/>
      <c r="O15" s="121"/>
      <c r="P15" s="121"/>
      <c r="Q15" s="119"/>
      <c r="R15" s="16"/>
      <c r="S15" s="16"/>
      <c r="T15" s="16"/>
      <c r="U15" s="16"/>
      <c r="V15" s="16"/>
      <c r="W15" s="15"/>
      <c r="X15" s="15"/>
      <c r="Y15" s="16"/>
    </row>
    <row r="16" spans="1:31" ht="3" customHeight="1" x14ac:dyDescent="0.2">
      <c r="A16" s="119"/>
      <c r="B16" s="121"/>
      <c r="C16" s="123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19"/>
      <c r="R16" s="16"/>
      <c r="S16" s="16"/>
      <c r="T16" s="16"/>
      <c r="U16" s="16"/>
      <c r="V16" s="16"/>
      <c r="W16" s="16"/>
      <c r="X16" s="16"/>
      <c r="Y16" s="16"/>
    </row>
    <row r="17" spans="1:25" ht="15" x14ac:dyDescent="0.25">
      <c r="A17" s="119"/>
      <c r="B17" s="121"/>
      <c r="C17" s="122" t="s">
        <v>137</v>
      </c>
      <c r="D17" s="484" t="str">
        <f>+Datos!AJ59</f>
        <v>60 años 8 meses 21 días.</v>
      </c>
      <c r="E17" s="484"/>
      <c r="F17" s="484"/>
      <c r="G17" s="121"/>
      <c r="H17" s="483" t="str">
        <f>IF(OR(D7="Incapacidad Total para profesión habitual",D7="Incapacidad Absoluta para toda Profesión"),"",IF(AND(RESULTADO!D15-RESULTADO!D13&lt;23741,D7=Datos!AF65),"NO PUEDE JUBILARSE POR NO TENER 65 AÑOS",IF(D15-D13&lt;21915,"NO PUEDE JUBILARSE POR NO TENER 60 AÑOS","")))</f>
        <v/>
      </c>
      <c r="I17" s="483"/>
      <c r="J17" s="483"/>
      <c r="K17" s="483"/>
      <c r="L17" s="483"/>
      <c r="M17" s="483"/>
      <c r="N17" s="483"/>
      <c r="O17" s="121"/>
      <c r="P17" s="121"/>
      <c r="Q17" s="119"/>
      <c r="R17" s="16"/>
      <c r="S17" s="16"/>
      <c r="T17" s="16"/>
      <c r="U17" s="16"/>
      <c r="V17" s="16"/>
      <c r="W17" s="16"/>
      <c r="X17" s="16"/>
      <c r="Y17" s="16"/>
    </row>
    <row r="18" spans="1:25" ht="3" customHeight="1" x14ac:dyDescent="0.25">
      <c r="A18" s="119"/>
      <c r="B18" s="121"/>
      <c r="C18" s="122"/>
      <c r="D18" s="126"/>
      <c r="E18" s="121"/>
      <c r="F18" s="126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19"/>
      <c r="R18" s="16"/>
      <c r="S18" s="16"/>
      <c r="T18" s="16"/>
      <c r="U18" s="16"/>
      <c r="V18" s="16"/>
      <c r="W18" s="16"/>
      <c r="X18" s="16"/>
      <c r="Y18" s="16"/>
    </row>
    <row r="19" spans="1:25" ht="15" x14ac:dyDescent="0.25">
      <c r="A19" s="119"/>
      <c r="B19" s="121"/>
      <c r="C19" s="122" t="s">
        <v>184</v>
      </c>
      <c r="D19" s="485" t="str">
        <f>+'Tiempos de cotización'!H11</f>
        <v>28 años 11 meses 5 días.</v>
      </c>
      <c r="E19" s="485"/>
      <c r="F19" s="485"/>
      <c r="G19" s="121"/>
      <c r="H19" s="132" t="s">
        <v>329</v>
      </c>
      <c r="I19" s="121"/>
      <c r="J19" s="374">
        <f>+Datos!E24</f>
        <v>44381</v>
      </c>
      <c r="K19" s="121"/>
      <c r="L19" s="121"/>
      <c r="M19" s="121"/>
      <c r="N19" s="121"/>
      <c r="O19" s="121"/>
      <c r="P19" s="121"/>
      <c r="Q19" s="119"/>
      <c r="R19" s="16"/>
      <c r="S19" s="16"/>
      <c r="T19" s="16"/>
      <c r="U19" s="16"/>
      <c r="V19" s="16"/>
      <c r="W19" s="16"/>
      <c r="X19" s="16"/>
      <c r="Y19" s="16"/>
    </row>
    <row r="20" spans="1:25" ht="3" customHeight="1" x14ac:dyDescent="0.25">
      <c r="A20" s="119"/>
      <c r="B20" s="121"/>
      <c r="C20" s="122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19"/>
      <c r="R20" s="16"/>
      <c r="S20" s="16"/>
      <c r="T20" s="16"/>
      <c r="U20" s="16"/>
      <c r="V20" s="16"/>
      <c r="W20" s="16"/>
      <c r="X20" s="16"/>
      <c r="Y20" s="16"/>
    </row>
    <row r="21" spans="1:25" ht="15" hidden="1" x14ac:dyDescent="0.25">
      <c r="A21" s="119"/>
      <c r="B21" s="121"/>
      <c r="C21" s="122" t="s">
        <v>184</v>
      </c>
      <c r="D21" s="485" t="str">
        <f>+'Tiempos de cotización'!H54</f>
        <v>29 años 2 meses 21 días.</v>
      </c>
      <c r="E21" s="485"/>
      <c r="F21" s="485"/>
      <c r="G21" s="121"/>
      <c r="H21" s="132" t="s">
        <v>232</v>
      </c>
      <c r="I21" s="121"/>
      <c r="J21" s="121"/>
      <c r="K21" s="121"/>
      <c r="L21" s="121"/>
      <c r="M21" s="121"/>
      <c r="N21" s="121"/>
      <c r="O21" s="121"/>
      <c r="P21" s="121"/>
      <c r="Q21" s="119"/>
      <c r="R21" s="16"/>
      <c r="S21" s="16"/>
      <c r="T21" s="16"/>
      <c r="U21" s="16"/>
      <c r="V21" s="16"/>
      <c r="W21" s="16"/>
      <c r="X21" s="16"/>
      <c r="Y21" s="16"/>
    </row>
    <row r="22" spans="1:25" ht="3" hidden="1" customHeight="1" x14ac:dyDescent="0.25">
      <c r="A22" s="119"/>
      <c r="B22" s="121"/>
      <c r="C22" s="122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19"/>
      <c r="R22" s="16"/>
      <c r="S22" s="16"/>
      <c r="T22" s="16"/>
      <c r="U22" s="16"/>
      <c r="V22" s="16"/>
      <c r="W22" s="16"/>
      <c r="X22" s="16"/>
      <c r="Y22" s="16"/>
    </row>
    <row r="23" spans="1:25" ht="15" x14ac:dyDescent="0.25">
      <c r="A23" s="119"/>
      <c r="B23" s="121"/>
      <c r="C23" s="122" t="s">
        <v>212</v>
      </c>
      <c r="D23" s="485" t="str">
        <f>+'Tiempos de cotización'!H24</f>
        <v>3 años 11 meses 10 días.</v>
      </c>
      <c r="E23" s="485"/>
      <c r="F23" s="485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19"/>
      <c r="R23" s="16"/>
      <c r="S23" s="16"/>
      <c r="T23" s="16"/>
      <c r="U23" s="16"/>
      <c r="V23" s="16"/>
      <c r="W23" s="16"/>
      <c r="X23" s="16"/>
      <c r="Y23" s="16"/>
    </row>
    <row r="24" spans="1:25" ht="3" customHeight="1" x14ac:dyDescent="0.25">
      <c r="A24" s="119"/>
      <c r="B24" s="121"/>
      <c r="C24" s="122"/>
      <c r="D24" s="127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19"/>
      <c r="R24" s="16"/>
      <c r="S24" s="16"/>
      <c r="T24" s="16"/>
      <c r="U24" s="16"/>
      <c r="V24" s="16"/>
      <c r="W24" s="16"/>
      <c r="X24" s="16"/>
      <c r="Y24" s="16"/>
    </row>
    <row r="25" spans="1:25" ht="15" x14ac:dyDescent="0.25">
      <c r="A25" s="119"/>
      <c r="B25" s="121"/>
      <c r="C25" s="122" t="s">
        <v>240</v>
      </c>
      <c r="D25" s="485" t="str">
        <f>+'Tiempos de cotización'!H51</f>
        <v>0 años 3 meses 17 días.</v>
      </c>
      <c r="E25" s="485"/>
      <c r="F25" s="485"/>
      <c r="G25" s="121"/>
      <c r="H25" s="491" t="s">
        <v>211</v>
      </c>
      <c r="I25" s="491"/>
      <c r="J25" s="491"/>
      <c r="K25" s="491"/>
      <c r="L25" s="491"/>
      <c r="M25" s="121"/>
      <c r="N25" s="121"/>
      <c r="O25" s="121"/>
      <c r="P25" s="121"/>
      <c r="Q25" s="119"/>
      <c r="R25" s="16"/>
      <c r="S25" s="16"/>
      <c r="T25" s="16"/>
      <c r="U25" s="16"/>
      <c r="V25" s="16"/>
      <c r="W25" s="16"/>
      <c r="X25" s="16"/>
      <c r="Y25" s="16"/>
    </row>
    <row r="26" spans="1:25" ht="3" customHeight="1" x14ac:dyDescent="0.25">
      <c r="A26" s="119"/>
      <c r="B26" s="121"/>
      <c r="C26" s="122"/>
      <c r="D26" s="127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19"/>
      <c r="R26" s="16"/>
      <c r="S26" s="16"/>
      <c r="T26" s="16"/>
      <c r="U26" s="16"/>
      <c r="V26" s="16"/>
      <c r="W26" s="16"/>
      <c r="X26" s="16"/>
      <c r="Y26" s="16"/>
    </row>
    <row r="27" spans="1:25" ht="15" x14ac:dyDescent="0.25">
      <c r="A27" s="119"/>
      <c r="B27" s="121"/>
      <c r="C27" s="122" t="s">
        <v>138</v>
      </c>
      <c r="D27" s="486" t="str">
        <f>+'Tiempos de cotización'!H41</f>
        <v>33 años 1 meses 31 días.</v>
      </c>
      <c r="E27" s="486"/>
      <c r="F27" s="486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19"/>
      <c r="R27" s="16"/>
      <c r="S27" s="16"/>
      <c r="T27" s="16"/>
      <c r="U27" s="16"/>
      <c r="V27" s="16"/>
      <c r="W27" s="16"/>
      <c r="X27" s="16"/>
      <c r="Y27" s="16"/>
    </row>
    <row r="28" spans="1:25" ht="3" customHeight="1" x14ac:dyDescent="0.25">
      <c r="A28" s="119"/>
      <c r="B28" s="121"/>
      <c r="C28" s="122"/>
      <c r="D28" s="127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19"/>
      <c r="R28" s="16"/>
      <c r="S28" s="16"/>
      <c r="T28" s="16"/>
      <c r="U28" s="16"/>
      <c r="V28" s="16"/>
      <c r="W28" s="16"/>
      <c r="X28" s="16"/>
      <c r="Y28" s="16"/>
    </row>
    <row r="29" spans="1:25" ht="15" x14ac:dyDescent="0.25">
      <c r="A29" s="119"/>
      <c r="B29" s="121"/>
      <c r="C29" s="122" t="str">
        <f>IF(Datos!D19="Nº de hijos nacidos","Nº de hijos nacidos","")</f>
        <v/>
      </c>
      <c r="D29" s="45" t="str">
        <f>IF(Datos!D19="Nº de hijos nacidos",Datos!F19,"")</f>
        <v/>
      </c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19"/>
      <c r="R29" s="16"/>
      <c r="S29" s="16"/>
      <c r="T29" s="16"/>
      <c r="U29" s="16"/>
      <c r="V29" s="16"/>
      <c r="W29" s="16"/>
      <c r="X29" s="16"/>
      <c r="Y29" s="16"/>
    </row>
    <row r="30" spans="1:25" ht="3" customHeight="1" x14ac:dyDescent="0.25">
      <c r="A30" s="119"/>
      <c r="B30" s="121"/>
      <c r="C30" s="122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19"/>
      <c r="R30" s="16"/>
      <c r="S30" s="16"/>
      <c r="T30" s="16"/>
      <c r="U30" s="16"/>
      <c r="V30" s="16"/>
      <c r="W30" s="16"/>
      <c r="X30" s="16"/>
      <c r="Y30" s="16"/>
    </row>
    <row r="31" spans="1:25" ht="15" x14ac:dyDescent="0.25">
      <c r="A31" s="119"/>
      <c r="B31" s="121"/>
      <c r="C31" s="128" t="s">
        <v>241</v>
      </c>
      <c r="D31" s="129"/>
      <c r="E31" s="129"/>
      <c r="F31" s="129"/>
      <c r="G31" s="129"/>
      <c r="H31" s="121"/>
      <c r="I31" s="121"/>
      <c r="J31" s="121"/>
      <c r="K31" s="121"/>
      <c r="L31" s="121"/>
      <c r="M31" s="121"/>
      <c r="N31" s="121"/>
      <c r="O31" s="121"/>
      <c r="P31" s="121"/>
      <c r="Q31" s="119"/>
      <c r="R31" s="16"/>
      <c r="S31" s="16"/>
      <c r="T31" s="16"/>
      <c r="U31" s="16"/>
      <c r="V31" s="16"/>
      <c r="W31" s="16"/>
      <c r="X31" s="16"/>
      <c r="Y31" s="16"/>
    </row>
    <row r="32" spans="1:25" ht="3" customHeight="1" x14ac:dyDescent="0.2">
      <c r="A32" s="119"/>
      <c r="B32" s="121"/>
      <c r="C32" s="130"/>
      <c r="D32" s="130"/>
      <c r="E32" s="130"/>
      <c r="F32" s="130"/>
      <c r="G32" s="130"/>
      <c r="H32" s="121"/>
      <c r="I32" s="121"/>
      <c r="J32" s="126"/>
      <c r="K32" s="121"/>
      <c r="L32" s="126"/>
      <c r="M32" s="121"/>
      <c r="N32" s="121"/>
      <c r="O32" s="121"/>
      <c r="P32" s="121"/>
      <c r="Q32" s="119"/>
      <c r="R32" s="16"/>
      <c r="S32" s="16"/>
      <c r="T32" s="16"/>
      <c r="U32" s="16"/>
      <c r="V32" s="16"/>
      <c r="W32" s="16"/>
      <c r="X32" s="16"/>
      <c r="Y32" s="16"/>
    </row>
    <row r="33" spans="1:25" ht="15" x14ac:dyDescent="0.25">
      <c r="A33" s="119"/>
      <c r="B33" s="121"/>
      <c r="C33" s="131" t="s">
        <v>236</v>
      </c>
      <c r="D33" s="482" t="str">
        <f>+'Tiempos de cotización'!H16</f>
        <v>0 años 3 meses 17 días.</v>
      </c>
      <c r="E33" s="482"/>
      <c r="F33" s="482"/>
      <c r="G33" s="130"/>
      <c r="H33" s="492" t="s">
        <v>235</v>
      </c>
      <c r="I33" s="492"/>
      <c r="J33" s="492"/>
      <c r="K33" s="492"/>
      <c r="L33" s="492"/>
      <c r="M33" s="492"/>
      <c r="N33" s="492"/>
      <c r="O33" s="492"/>
      <c r="P33" s="492"/>
      <c r="Q33" s="119"/>
      <c r="R33" s="16"/>
      <c r="S33" s="16"/>
      <c r="T33" s="16"/>
      <c r="U33" s="16"/>
      <c r="V33" s="16"/>
      <c r="W33" s="16"/>
      <c r="X33" s="16"/>
      <c r="Y33" s="16"/>
    </row>
    <row r="34" spans="1:25" ht="3" customHeight="1" x14ac:dyDescent="0.2">
      <c r="A34" s="119"/>
      <c r="B34" s="121"/>
      <c r="C34" s="130"/>
      <c r="D34" s="130"/>
      <c r="E34" s="130"/>
      <c r="F34" s="130"/>
      <c r="G34" s="130"/>
      <c r="H34" s="121"/>
      <c r="I34" s="121"/>
      <c r="J34" s="126"/>
      <c r="K34" s="121"/>
      <c r="L34" s="126"/>
      <c r="M34" s="121"/>
      <c r="N34" s="121"/>
      <c r="O34" s="121"/>
      <c r="P34" s="121"/>
      <c r="Q34" s="119"/>
      <c r="R34" s="16"/>
      <c r="S34" s="16"/>
      <c r="T34" s="16"/>
      <c r="U34" s="16"/>
      <c r="V34" s="16"/>
      <c r="W34" s="16"/>
      <c r="X34" s="16"/>
      <c r="Y34" s="16"/>
    </row>
    <row r="35" spans="1:25" ht="15" x14ac:dyDescent="0.25">
      <c r="A35" s="119"/>
      <c r="B35" s="121"/>
      <c r="C35" s="131" t="s">
        <v>180</v>
      </c>
      <c r="D35" s="482" t="str">
        <f>+Datos!AJ61</f>
        <v xml:space="preserve"> </v>
      </c>
      <c r="E35" s="482"/>
      <c r="F35" s="482"/>
      <c r="G35" s="130"/>
      <c r="H35" s="121"/>
      <c r="I35" s="121"/>
      <c r="J35" s="126"/>
      <c r="K35" s="121"/>
      <c r="L35" s="126"/>
      <c r="M35" s="121"/>
      <c r="N35" s="121"/>
      <c r="O35" s="121"/>
      <c r="P35" s="121"/>
      <c r="Q35" s="119"/>
      <c r="R35" s="16"/>
      <c r="S35" s="16"/>
      <c r="T35" s="16"/>
      <c r="U35" s="16"/>
      <c r="V35" s="176"/>
      <c r="W35" s="16"/>
      <c r="X35" s="16"/>
      <c r="Y35" s="16"/>
    </row>
    <row r="36" spans="1:25" ht="3" customHeight="1" x14ac:dyDescent="0.25">
      <c r="A36" s="119"/>
      <c r="B36" s="121"/>
      <c r="C36" s="131"/>
      <c r="D36" s="130"/>
      <c r="E36" s="129"/>
      <c r="F36" s="126"/>
      <c r="G36" s="130"/>
      <c r="H36" s="121"/>
      <c r="I36" s="121"/>
      <c r="J36" s="126"/>
      <c r="K36" s="121"/>
      <c r="L36" s="126"/>
      <c r="M36" s="121"/>
      <c r="N36" s="121"/>
      <c r="O36" s="121"/>
      <c r="P36" s="121"/>
      <c r="Q36" s="119"/>
      <c r="R36" s="16"/>
      <c r="S36" s="16"/>
      <c r="T36" s="16"/>
      <c r="U36" s="16"/>
      <c r="V36" s="16"/>
      <c r="W36" s="16"/>
      <c r="X36" s="16"/>
      <c r="Y36" s="16"/>
    </row>
    <row r="37" spans="1:25" ht="15" x14ac:dyDescent="0.25">
      <c r="A37" s="119"/>
      <c r="B37" s="121"/>
      <c r="C37" s="131" t="s">
        <v>181</v>
      </c>
      <c r="D37" s="482" t="str">
        <f>IF(Datos!L13='Tiempos de cotización'!B27,'Tiempos de cotización'!H33,'Tiempos de cotización'!H34)</f>
        <v xml:space="preserve"> </v>
      </c>
      <c r="E37" s="482"/>
      <c r="F37" s="482"/>
      <c r="G37" s="130"/>
      <c r="H37" s="132" t="str">
        <f>IF(Datos!X9&gt;0,CONCATENATE("Aumento en el Grupo ",Datos!AH69),"")</f>
        <v/>
      </c>
      <c r="I37" s="132"/>
      <c r="J37" s="132"/>
      <c r="K37" s="121"/>
      <c r="L37" s="204"/>
      <c r="M37" s="121"/>
      <c r="N37" s="121"/>
      <c r="O37" s="121"/>
      <c r="P37" s="121"/>
      <c r="Q37" s="119"/>
      <c r="R37" s="16"/>
      <c r="S37" s="16"/>
      <c r="T37" s="16"/>
      <c r="U37" s="16"/>
      <c r="V37" s="16"/>
      <c r="W37" s="16"/>
      <c r="X37" s="16"/>
      <c r="Y37" s="16"/>
    </row>
    <row r="38" spans="1:25" ht="3" hidden="1" customHeight="1" x14ac:dyDescent="0.25">
      <c r="A38" s="119"/>
      <c r="B38" s="121"/>
      <c r="C38" s="131"/>
      <c r="D38" s="130"/>
      <c r="E38" s="129"/>
      <c r="F38" s="126"/>
      <c r="G38" s="130"/>
      <c r="H38" s="121"/>
      <c r="I38" s="121"/>
      <c r="J38" s="126"/>
      <c r="K38" s="121"/>
      <c r="L38" s="126"/>
      <c r="M38" s="121"/>
      <c r="N38" s="121"/>
      <c r="O38" s="121"/>
      <c r="P38" s="121"/>
      <c r="Q38" s="119"/>
      <c r="R38" s="16"/>
      <c r="S38" s="16"/>
      <c r="T38" s="16"/>
      <c r="U38" s="16"/>
      <c r="V38" s="16"/>
      <c r="W38" s="16"/>
      <c r="X38" s="16"/>
      <c r="Y38" s="16"/>
    </row>
    <row r="39" spans="1:25" ht="15" hidden="1" x14ac:dyDescent="0.25">
      <c r="A39" s="119"/>
      <c r="B39" s="121"/>
      <c r="C39" s="131" t="s">
        <v>186</v>
      </c>
      <c r="D39" s="482"/>
      <c r="E39" s="482"/>
      <c r="F39" s="482"/>
      <c r="G39" s="130"/>
      <c r="H39" s="132" t="str">
        <f>IF(Datos!X11&gt;0,CONCATENATE("Aumento en el Grupo ",Datos!AH69),"")</f>
        <v/>
      </c>
      <c r="I39" s="132"/>
      <c r="J39" s="132"/>
      <c r="K39" s="121"/>
      <c r="L39" s="204"/>
      <c r="M39" s="121"/>
      <c r="N39" s="121"/>
      <c r="O39" s="121"/>
      <c r="P39" s="121"/>
      <c r="Q39" s="119"/>
      <c r="R39" s="16"/>
      <c r="S39" s="16"/>
      <c r="T39" s="16"/>
      <c r="U39" s="16"/>
      <c r="V39" s="16"/>
      <c r="W39" s="16"/>
      <c r="X39" s="16"/>
      <c r="Y39" s="16"/>
    </row>
    <row r="40" spans="1:25" ht="3" customHeight="1" x14ac:dyDescent="0.25">
      <c r="A40" s="119"/>
      <c r="B40" s="121"/>
      <c r="C40" s="131"/>
      <c r="D40" s="130"/>
      <c r="E40" s="129"/>
      <c r="F40" s="126"/>
      <c r="G40" s="130"/>
      <c r="H40" s="121"/>
      <c r="I40" s="121"/>
      <c r="J40" s="126"/>
      <c r="K40" s="121"/>
      <c r="L40" s="126"/>
      <c r="M40" s="121"/>
      <c r="N40" s="121"/>
      <c r="O40" s="121"/>
      <c r="P40" s="121"/>
      <c r="Q40" s="119"/>
      <c r="R40" s="16"/>
      <c r="S40" s="16"/>
      <c r="T40" s="16"/>
      <c r="U40" s="16"/>
      <c r="V40" s="16"/>
      <c r="W40" s="16"/>
      <c r="X40" s="16"/>
      <c r="Y40" s="16"/>
    </row>
    <row r="41" spans="1:25" ht="15" x14ac:dyDescent="0.25">
      <c r="A41" s="119"/>
      <c r="B41" s="121"/>
      <c r="C41" s="131" t="s">
        <v>182</v>
      </c>
      <c r="D41" s="482" t="str">
        <f>+'Tiempos de cotización'!H37</f>
        <v xml:space="preserve"> </v>
      </c>
      <c r="E41" s="482"/>
      <c r="F41" s="482"/>
      <c r="G41" s="130"/>
      <c r="H41" s="132" t="str">
        <f>IF(Datos!X13&gt;0,"Aumento en grupo E","")</f>
        <v/>
      </c>
      <c r="I41" s="121"/>
      <c r="J41" s="126"/>
      <c r="K41" s="121"/>
      <c r="L41" s="126"/>
      <c r="M41" s="121"/>
      <c r="N41" s="121"/>
      <c r="O41" s="121"/>
      <c r="P41" s="121"/>
      <c r="Q41" s="119"/>
      <c r="R41" s="16"/>
      <c r="S41" s="16"/>
      <c r="T41" s="16"/>
      <c r="U41" s="16"/>
      <c r="V41" s="16"/>
      <c r="W41" s="16"/>
      <c r="X41" s="16"/>
      <c r="Y41" s="16"/>
    </row>
    <row r="42" spans="1:25" ht="3" customHeight="1" thickBot="1" x14ac:dyDescent="0.3">
      <c r="A42" s="119"/>
      <c r="B42" s="121"/>
      <c r="C42" s="131"/>
      <c r="D42" s="130"/>
      <c r="E42" s="129"/>
      <c r="F42" s="126"/>
      <c r="G42" s="130"/>
      <c r="H42" s="121"/>
      <c r="I42" s="121"/>
      <c r="J42" s="126"/>
      <c r="K42" s="121"/>
      <c r="L42" s="126"/>
      <c r="M42" s="121"/>
      <c r="N42" s="121"/>
      <c r="O42" s="121"/>
      <c r="P42" s="121"/>
      <c r="Q42" s="119"/>
      <c r="R42" s="16"/>
      <c r="S42" s="16"/>
      <c r="T42" s="16"/>
      <c r="U42" s="16"/>
      <c r="V42" s="16"/>
      <c r="W42" s="16"/>
      <c r="X42" s="16"/>
      <c r="Y42" s="16"/>
    </row>
    <row r="43" spans="1:25" ht="38.25" x14ac:dyDescent="0.2">
      <c r="A43" s="119"/>
      <c r="B43" s="121"/>
      <c r="C43" s="133" t="s">
        <v>177</v>
      </c>
      <c r="D43" s="134" t="s">
        <v>173</v>
      </c>
      <c r="E43" s="134"/>
      <c r="F43" s="135" t="s">
        <v>174</v>
      </c>
      <c r="G43" s="136"/>
      <c r="H43" s="135" t="s">
        <v>175</v>
      </c>
      <c r="I43" s="135"/>
      <c r="J43" s="197" t="s">
        <v>189</v>
      </c>
      <c r="K43" s="135"/>
      <c r="L43" s="135" t="s">
        <v>190</v>
      </c>
      <c r="M43" s="137"/>
      <c r="N43" s="135" t="s">
        <v>179</v>
      </c>
      <c r="O43" s="41"/>
      <c r="P43" s="121"/>
      <c r="Q43" s="119"/>
      <c r="R43" s="16"/>
      <c r="S43" s="16"/>
      <c r="T43" s="3"/>
      <c r="U43" s="16"/>
      <c r="V43" s="16"/>
      <c r="W43" s="16"/>
      <c r="X43" s="16"/>
      <c r="Y43" s="16"/>
    </row>
    <row r="44" spans="1:25" ht="3" customHeight="1" x14ac:dyDescent="0.2">
      <c r="A44" s="119"/>
      <c r="B44" s="121"/>
      <c r="C44" s="41"/>
      <c r="D44" s="43"/>
      <c r="E44" s="43"/>
      <c r="F44" s="43"/>
      <c r="G44" s="41"/>
      <c r="H44" s="41"/>
      <c r="I44" s="41"/>
      <c r="J44" s="198"/>
      <c r="K44" s="41"/>
      <c r="L44" s="41"/>
      <c r="M44" s="41"/>
      <c r="N44" s="41"/>
      <c r="O44" s="41"/>
      <c r="P44" s="121"/>
      <c r="Q44" s="119"/>
      <c r="R44" s="16"/>
      <c r="S44" s="16"/>
      <c r="T44" s="2" t="s">
        <v>18</v>
      </c>
      <c r="U44" s="16"/>
      <c r="V44" s="16"/>
      <c r="W44" s="16"/>
      <c r="X44" s="16"/>
      <c r="Y44" s="16"/>
    </row>
    <row r="45" spans="1:25" ht="15.75" x14ac:dyDescent="0.25">
      <c r="A45" s="119"/>
      <c r="B45" s="121"/>
      <c r="C45" s="138" t="s">
        <v>204</v>
      </c>
      <c r="D45" s="139">
        <f>+Importe!E41</f>
        <v>29914.565859999995</v>
      </c>
      <c r="E45" s="140"/>
      <c r="F45" s="139">
        <f>+D45/14</f>
        <v>2136.7547042857141</v>
      </c>
      <c r="G45" s="141"/>
      <c r="H45" s="142">
        <f>IF(D45=0,0,IF(D7=Datos!AF67,0,+IRPFPensión!B37))</f>
        <v>0.17735071880464856</v>
      </c>
      <c r="I45" s="141"/>
      <c r="J45" s="196">
        <f>+F45-(F45*H45)</f>
        <v>1757.7997215714283</v>
      </c>
      <c r="K45" s="141"/>
      <c r="L45" s="139">
        <f>+J45*2</f>
        <v>3515.5994431428567</v>
      </c>
      <c r="M45" s="143"/>
      <c r="N45" s="139">
        <f>+(J45*10)+(L45*2)</f>
        <v>24609.196101999998</v>
      </c>
      <c r="O45" s="143"/>
      <c r="P45" s="121"/>
      <c r="Q45" s="119"/>
      <c r="R45" s="16"/>
      <c r="S45" s="16"/>
      <c r="T45" s="2"/>
      <c r="U45" s="16"/>
      <c r="V45" s="16"/>
      <c r="W45" s="16"/>
      <c r="X45" s="16"/>
      <c r="Y45" s="16"/>
    </row>
    <row r="46" spans="1:25" ht="3" customHeight="1" x14ac:dyDescent="0.2">
      <c r="A46" s="119"/>
      <c r="B46" s="121"/>
      <c r="C46" s="41"/>
      <c r="D46" s="43"/>
      <c r="E46" s="43"/>
      <c r="F46" s="43"/>
      <c r="G46" s="41"/>
      <c r="H46" s="41"/>
      <c r="I46" s="41"/>
      <c r="J46" s="198"/>
      <c r="K46" s="41"/>
      <c r="L46" s="41"/>
      <c r="M46" s="41"/>
      <c r="N46" s="41"/>
      <c r="O46" s="41"/>
      <c r="P46" s="121"/>
      <c r="Q46" s="119"/>
      <c r="R46" s="16"/>
      <c r="S46" s="16"/>
      <c r="T46" s="16" t="s">
        <v>143</v>
      </c>
      <c r="U46" s="16"/>
      <c r="V46" s="16"/>
      <c r="W46" s="16"/>
      <c r="X46" s="16"/>
      <c r="Y46" s="16"/>
    </row>
    <row r="47" spans="1:25" ht="15" x14ac:dyDescent="0.25">
      <c r="A47" s="119"/>
      <c r="B47" s="121"/>
      <c r="C47" s="144" t="str">
        <f>IF(Datos!AH69="A1","    Límite máximo Pensión", "     Pensión máxima. Grupo A2")</f>
        <v xml:space="preserve">     Pensión máxima. Grupo A2</v>
      </c>
      <c r="D47" s="194">
        <f>IF(Datos!AH69="A2",'Haber Regulador'!H41,'Haber Regulador'!I43)</f>
        <v>33498.68</v>
      </c>
      <c r="E47" s="146"/>
      <c r="F47" s="194">
        <f>+D47/14</f>
        <v>2392.7628571428572</v>
      </c>
      <c r="G47" s="147"/>
      <c r="H47" s="195">
        <f>+IRPFPensiónMax!B37</f>
        <v>0.19047329626122581</v>
      </c>
      <c r="I47" s="147"/>
      <c r="J47" s="199">
        <f>+F47-(F47*H47)</f>
        <v>1937.0054285714286</v>
      </c>
      <c r="K47" s="147"/>
      <c r="L47" s="194">
        <f>+J47*2</f>
        <v>3874.0108571428573</v>
      </c>
      <c r="M47" s="147"/>
      <c r="N47" s="194">
        <f>+(J47*10)+(L47*2)</f>
        <v>27118.076000000001</v>
      </c>
      <c r="O47" s="41"/>
      <c r="P47" s="121"/>
      <c r="Q47" s="119"/>
      <c r="R47" s="16"/>
      <c r="S47" s="16"/>
      <c r="T47" s="16"/>
      <c r="U47" s="16"/>
      <c r="V47" s="16"/>
      <c r="W47" s="16"/>
      <c r="X47" s="16"/>
      <c r="Y47" s="16"/>
    </row>
    <row r="48" spans="1:25" ht="3" customHeight="1" x14ac:dyDescent="0.2">
      <c r="A48" s="119"/>
      <c r="B48" s="121"/>
      <c r="C48" s="41"/>
      <c r="D48" s="43"/>
      <c r="E48" s="43"/>
      <c r="F48" s="43"/>
      <c r="G48" s="41"/>
      <c r="H48" s="41"/>
      <c r="I48" s="41"/>
      <c r="J48" s="198"/>
      <c r="K48" s="41"/>
      <c r="L48" s="41"/>
      <c r="M48" s="41"/>
      <c r="N48" s="41"/>
      <c r="O48" s="41"/>
      <c r="P48" s="121"/>
      <c r="Q48" s="119"/>
      <c r="R48" s="16"/>
      <c r="S48" s="16"/>
      <c r="T48" s="16"/>
      <c r="U48" s="16"/>
      <c r="V48" s="16"/>
      <c r="W48" s="16"/>
      <c r="X48" s="16"/>
      <c r="Y48" s="16"/>
    </row>
    <row r="49" spans="1:25" ht="15.75" thickBot="1" x14ac:dyDescent="0.3">
      <c r="A49" s="119"/>
      <c r="B49" s="121"/>
      <c r="C49" s="144" t="s">
        <v>205</v>
      </c>
      <c r="D49" s="150">
        <f>+D45-D47</f>
        <v>-3584.1141400000051</v>
      </c>
      <c r="E49" s="150"/>
      <c r="F49" s="150">
        <f>+F45-F47</f>
        <v>-256.00815285714316</v>
      </c>
      <c r="G49" s="150"/>
      <c r="H49" s="151">
        <f>+H45-H47</f>
        <v>-1.3122577456577245E-2</v>
      </c>
      <c r="I49" s="150"/>
      <c r="J49" s="200">
        <f>+J45-J47</f>
        <v>-179.2057070000003</v>
      </c>
      <c r="K49" s="150"/>
      <c r="L49" s="150">
        <f>+L45-L47</f>
        <v>-358.4114140000006</v>
      </c>
      <c r="M49" s="41"/>
      <c r="N49" s="150">
        <f>+(J49*10)+(L49*2)</f>
        <v>-2508.8798980000042</v>
      </c>
      <c r="O49" s="41"/>
      <c r="P49" s="121"/>
      <c r="Q49" s="119"/>
      <c r="R49" s="16"/>
      <c r="S49" s="16"/>
      <c r="T49" s="16"/>
      <c r="U49" s="16"/>
      <c r="V49" s="16"/>
      <c r="W49" s="16"/>
      <c r="X49" s="16"/>
      <c r="Y49" s="16"/>
    </row>
    <row r="50" spans="1:25" ht="3" customHeight="1" x14ac:dyDescent="0.2">
      <c r="A50" s="119"/>
      <c r="B50" s="12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121"/>
      <c r="Q50" s="119"/>
      <c r="R50" s="16"/>
      <c r="S50" s="16"/>
      <c r="T50" s="16"/>
      <c r="U50" s="16"/>
      <c r="V50" s="16"/>
      <c r="W50" s="16"/>
      <c r="X50" s="16"/>
      <c r="Y50" s="16"/>
    </row>
    <row r="51" spans="1:25" ht="15" x14ac:dyDescent="0.25">
      <c r="A51" s="119"/>
      <c r="B51" s="121"/>
      <c r="C51" s="144" t="s">
        <v>237</v>
      </c>
      <c r="D51" s="145">
        <f>IF(D9="Maestros",Retribuciones!AI13,IF(D9="Maestros 1º y 2º ESO",Retribuciones!AI12,IF(OR(D9="Profesores Técnicos de Formación Profesional",D9="Maestros de Taller de Artes Plásticas y Diseño"),Retribuciones!AI11,IF(OR(D9="Profesores de Enseñanza Secundaria",D9="Profesores de Escuelas Oficiales de Idiomas",D9="Profesores de Artes Plásticas y Diseño",D9="Profesores de Musica y Artes Escénicas"),Retribuciones!AI9,IF(D9="Catedrático",Retribuciones!AI5,IF(D9="Inspector",Retribuciones!AI4,0))))))</f>
        <v>37639.825362999996</v>
      </c>
      <c r="E51" s="146"/>
      <c r="F51" s="145">
        <f>IF(D9=Retribuciones!C13,Retribuciones!AG13,IF(D9=Retribuciones!C12,Retribuciones!AG12,IF(D9=Retribuciones!C11,Retribuciones!AG11,IF(D9=Retribuciones!C10,Retribuciones!AG10,IF(D9=Retribuciones!C9,Retribuciones!AG9,IF(D9=Retribuciones!C8,Retribuciones!AG8,IF(D9=Retribuciones!C7,Retribuciones!AG7,IF(D9=Retribuciones!C6,Retribuciones!AG6,IF(D9=Retribuciones!C5,Retribuciones!AG5,IF(D9=Retribuciones!C4,Retribuciones!AG4,0))))))))))</f>
        <v>2781.3704250000001</v>
      </c>
      <c r="G51" s="147"/>
      <c r="H51" s="148">
        <f>IF(D9=Retribuciones!C13,Retribuciones!AJ13,IF(D9=Retribuciones!C12,Retribuciones!AJ12,IF(D9=Retribuciones!C11,Retribuciones!AJ11,IF(D9=Retribuciones!C10,Retribuciones!AJ10,IF(D9=Retribuciones!C9,Retribuciones!AJ9,IF(D9=Retribuciones!C8,Retribuciones!AJ8,IF(D9=Retribuciones!C7,Retribuciones!AJ7,IF(D9=Retribuciones!C6,Retribuciones!AJ6,IF(D9=Retribuciones!C5,Retribuciones!AJ5,IF(D9=Retribuciones!C4,Retribuciones!AJ4,0))))))))))</f>
        <v>0.19304854735173127</v>
      </c>
      <c r="I51" s="147"/>
      <c r="J51" s="145">
        <f>IF(D9=Retribuciones!C13,Retribuciones!AL13,IF(D9=Retribuciones!C12,Retribuciones!AL12,IF(D9=Retribuciones!C11,Retribuciones!AL11,IF(D9=Retribuciones!C10,Retribuciones!AL10,IF(D9=Retribuciones!C9,Retribuciones!AL9,IF(D9=Retribuciones!C8,Retribuciones!AL8,IF(D9=Retribuciones!C7,Retribuciones!AL7,IF(D9=Retribuciones!C6,Retribuciones!AL6,IF(D9=Retribuciones!C5,Retribuciones!AL5,IF(D9=Retribuciones!C4,Retribuciones!AL4,0))))))))))</f>
        <v>2116.6609048066825</v>
      </c>
      <c r="K51" s="149"/>
      <c r="L51" s="145">
        <f>IF(D9=Retribuciones!C13,Retribuciones!AN13,IF(D9=Retribuciones!C12,Retribuciones!AN12,IF(D9=Retribuciones!C11,Retribuciones!AN11,IF(D9=Retribuciones!C10,Retribuciones!AN10,IF(D9=Retribuciones!C9,Retribuciones!AN9,IF(D9=Retribuciones!C8,Retribuciones!AN8,IF(D9=Retribuciones!C7,Retribuciones!AN7,IF(D9=Retribuciones!C6,Retribuciones!AN6,IF(D9=Retribuciones!C5,Retribuciones!AN5,IF(D9=Retribuciones!C4,Retribuciones!AN4,0))))))))))</f>
        <v>3709.0613530165879</v>
      </c>
      <c r="M51" s="147"/>
      <c r="N51" s="145">
        <f>+(J51*10)+(L51*2)</f>
        <v>28584.731754100001</v>
      </c>
      <c r="O51" s="41"/>
      <c r="P51" s="121"/>
      <c r="Q51" s="119"/>
      <c r="R51" s="16"/>
      <c r="S51" s="16"/>
      <c r="T51" s="16"/>
      <c r="U51" s="16"/>
      <c r="V51" s="16"/>
      <c r="W51" s="16"/>
      <c r="X51" s="16"/>
      <c r="Y51" s="16"/>
    </row>
    <row r="52" spans="1:25" ht="3" customHeight="1" x14ac:dyDescent="0.2">
      <c r="A52" s="119"/>
      <c r="B52" s="12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21"/>
      <c r="Q52" s="119"/>
      <c r="R52" s="16"/>
      <c r="S52" s="16"/>
      <c r="T52" s="16"/>
      <c r="U52" s="16"/>
      <c r="V52" s="16"/>
      <c r="W52" s="16"/>
      <c r="X52" s="16"/>
      <c r="Y52" s="16"/>
    </row>
    <row r="53" spans="1:25" ht="15.75" x14ac:dyDescent="0.25">
      <c r="A53" s="119"/>
      <c r="B53" s="121"/>
      <c r="C53" s="144" t="s">
        <v>183</v>
      </c>
      <c r="D53" s="150">
        <f t="shared" ref="D53:F53" si="0">+D45-D51</f>
        <v>-7725.2595030000011</v>
      </c>
      <c r="E53" s="150"/>
      <c r="F53" s="150">
        <f t="shared" si="0"/>
        <v>-644.615720714286</v>
      </c>
      <c r="G53" s="150"/>
      <c r="H53" s="151">
        <f>+H45-H51</f>
        <v>-1.5697828547082709E-2</v>
      </c>
      <c r="I53" s="150"/>
      <c r="J53" s="150">
        <f>+J45-J51</f>
        <v>-358.8611832352542</v>
      </c>
      <c r="K53" s="152"/>
      <c r="L53" s="150">
        <f>+L45-L51</f>
        <v>-193.4619098737312</v>
      </c>
      <c r="M53" s="41"/>
      <c r="N53" s="150">
        <f>+(J53*10)+(L53*2)</f>
        <v>-3975.5356521000044</v>
      </c>
      <c r="O53" s="41"/>
      <c r="P53" s="121"/>
      <c r="Q53" s="119"/>
      <c r="R53" s="16"/>
      <c r="S53" s="16"/>
      <c r="T53" s="16"/>
      <c r="U53" s="16"/>
      <c r="V53" s="16"/>
      <c r="W53" s="16"/>
      <c r="X53" s="16"/>
      <c r="Y53" s="16"/>
    </row>
    <row r="54" spans="1:25" ht="3" customHeight="1" x14ac:dyDescent="0.2">
      <c r="A54" s="119"/>
      <c r="B54" s="121"/>
      <c r="C54" s="41"/>
      <c r="D54" s="43"/>
      <c r="E54" s="43"/>
      <c r="F54" s="43"/>
      <c r="G54" s="41"/>
      <c r="H54" s="41"/>
      <c r="I54" s="41"/>
      <c r="J54" s="41"/>
      <c r="K54" s="41"/>
      <c r="L54" s="41"/>
      <c r="M54" s="41"/>
      <c r="N54" s="41"/>
      <c r="O54" s="41"/>
      <c r="P54" s="121"/>
      <c r="Q54" s="119"/>
      <c r="R54" s="16"/>
      <c r="S54" s="16"/>
      <c r="T54" s="16"/>
      <c r="U54" s="16"/>
      <c r="V54" s="16"/>
      <c r="W54" s="16"/>
      <c r="X54" s="16"/>
      <c r="Y54" s="16"/>
    </row>
    <row r="55" spans="1:25" ht="30.75" customHeight="1" x14ac:dyDescent="0.25">
      <c r="A55" s="119"/>
      <c r="B55" s="121"/>
      <c r="C55" s="144"/>
      <c r="D55" s="488" t="str">
        <f>IF(Importe!C55&gt;0%,"Incremento de la pensión a las mujeres por tener 2 o más hijos y pueden pasa de pensión máxima","")</f>
        <v/>
      </c>
      <c r="E55" s="488"/>
      <c r="F55" s="488"/>
      <c r="G55" s="488"/>
      <c r="H55" s="488"/>
      <c r="I55" s="488"/>
      <c r="J55" s="488"/>
      <c r="K55" s="488"/>
      <c r="L55" s="488"/>
      <c r="M55" s="488"/>
      <c r="N55" s="488"/>
      <c r="O55" s="312"/>
      <c r="P55" s="121"/>
      <c r="Q55" s="119"/>
      <c r="R55" s="16"/>
      <c r="S55" s="16"/>
      <c r="T55" s="16"/>
      <c r="U55" s="16"/>
      <c r="V55" s="16"/>
      <c r="W55" s="16"/>
      <c r="X55" s="16"/>
      <c r="Y55" s="16"/>
    </row>
    <row r="56" spans="1:25" ht="3" customHeight="1" x14ac:dyDescent="0.2">
      <c r="A56" s="119"/>
      <c r="B56" s="153"/>
      <c r="C56" s="153"/>
      <c r="D56" s="153"/>
      <c r="E56" s="153"/>
      <c r="F56" s="115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19"/>
      <c r="R56" s="16"/>
      <c r="S56" s="16"/>
      <c r="T56" s="16"/>
      <c r="U56" s="16"/>
      <c r="V56" s="16"/>
      <c r="W56" s="16"/>
      <c r="X56" s="16"/>
      <c r="Y56" s="16"/>
    </row>
    <row r="57" spans="1:25" ht="3" customHeight="1" x14ac:dyDescent="0.2">
      <c r="A57" s="119"/>
      <c r="B57" s="153"/>
      <c r="C57" s="121"/>
      <c r="D57" s="121"/>
      <c r="E57" s="121"/>
      <c r="F57" s="115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19"/>
      <c r="R57" s="16"/>
      <c r="S57" s="16"/>
      <c r="T57" s="16"/>
      <c r="U57" s="16"/>
      <c r="V57" s="16"/>
      <c r="W57" s="16"/>
      <c r="X57" s="16"/>
      <c r="Y57" s="16"/>
    </row>
    <row r="58" spans="1:25" x14ac:dyDescent="0.2">
      <c r="A58" s="119"/>
      <c r="B58" s="154"/>
      <c r="C58" s="116" t="s">
        <v>99</v>
      </c>
      <c r="D58" s="45">
        <f>IF(IF(MONTH(D15)=8,0,INT((D15-(DATE(YEAR(D15)-1,8,31)))/12))&gt;30,IF(MONTH(D15)=8,0,INT((D15-(DATE(YEAR(D15)-1,8,31)))/12))-30,IF(MONTH(D15)=8,0,INT((D15-(DATE(YEAR(D15)-1,8,31)))/12)))</f>
        <v>4</v>
      </c>
      <c r="E58" s="121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19"/>
      <c r="R58" s="16"/>
      <c r="S58" s="16"/>
      <c r="T58" s="16"/>
      <c r="U58" s="16"/>
      <c r="V58" s="16"/>
      <c r="W58" s="16"/>
      <c r="X58" s="16"/>
      <c r="Y58" s="16"/>
    </row>
    <row r="59" spans="1:25" ht="3" customHeight="1" x14ac:dyDescent="0.2">
      <c r="A59" s="119"/>
      <c r="B59" s="154"/>
      <c r="C59" s="155"/>
      <c r="D59" s="126"/>
      <c r="E59" s="121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19"/>
      <c r="R59" s="16"/>
      <c r="S59" s="16"/>
      <c r="T59" s="16"/>
      <c r="U59" s="16"/>
      <c r="V59" s="16"/>
      <c r="W59" s="16"/>
      <c r="X59" s="16"/>
      <c r="Y59" s="16"/>
    </row>
    <row r="60" spans="1:25" x14ac:dyDescent="0.2">
      <c r="A60" s="119"/>
      <c r="B60" s="154"/>
      <c r="C60" s="117" t="s">
        <v>100</v>
      </c>
      <c r="D60" s="125">
        <f>+D15-D58</f>
        <v>44485</v>
      </c>
      <c r="E60" s="117"/>
      <c r="F60" s="115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19"/>
      <c r="R60" s="16"/>
      <c r="S60" s="16"/>
      <c r="T60" s="16"/>
      <c r="U60" s="16"/>
      <c r="V60" s="16"/>
      <c r="W60" s="16"/>
      <c r="X60" s="16"/>
      <c r="Y60" s="16"/>
    </row>
    <row r="61" spans="1:25" ht="3" customHeight="1" x14ac:dyDescent="0.2">
      <c r="A61" s="119"/>
      <c r="B61" s="154"/>
      <c r="C61" s="155"/>
      <c r="D61" s="126"/>
      <c r="E61" s="121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19"/>
      <c r="R61" s="16"/>
      <c r="S61" s="16"/>
      <c r="T61" s="16"/>
      <c r="U61" s="16"/>
      <c r="V61" s="16"/>
      <c r="W61" s="16"/>
      <c r="X61" s="16"/>
      <c r="Y61" s="16"/>
    </row>
    <row r="62" spans="1:25" ht="3" customHeight="1" x14ac:dyDescent="0.2">
      <c r="A62" s="119"/>
      <c r="B62" s="154"/>
      <c r="C62" s="154"/>
      <c r="D62" s="156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19"/>
      <c r="R62" s="16"/>
      <c r="S62" s="16"/>
      <c r="T62" s="16"/>
      <c r="U62" s="16"/>
      <c r="V62" s="16"/>
      <c r="W62" s="16"/>
      <c r="X62" s="16"/>
      <c r="Y62" s="16"/>
    </row>
    <row r="63" spans="1:25" ht="3" customHeight="1" x14ac:dyDescent="0.2">
      <c r="A63" s="119"/>
      <c r="B63" s="154"/>
      <c r="C63" s="157"/>
      <c r="D63" s="158"/>
      <c r="E63" s="159"/>
      <c r="F63" s="159"/>
      <c r="G63" s="159"/>
      <c r="H63" s="159"/>
      <c r="I63" s="159"/>
      <c r="J63" s="153"/>
      <c r="K63" s="153"/>
      <c r="L63" s="153"/>
      <c r="M63" s="153"/>
      <c r="N63" s="153"/>
      <c r="O63" s="153"/>
      <c r="P63" s="153"/>
      <c r="Q63" s="119"/>
      <c r="R63" s="16"/>
      <c r="S63" s="16"/>
      <c r="T63" s="16"/>
      <c r="U63" s="16"/>
      <c r="V63" s="16"/>
      <c r="W63" s="16"/>
      <c r="X63" s="16"/>
      <c r="Y63" s="16"/>
    </row>
    <row r="64" spans="1:25" x14ac:dyDescent="0.2">
      <c r="A64" s="119"/>
      <c r="B64" s="154"/>
      <c r="C64" s="160" t="s">
        <v>192</v>
      </c>
      <c r="D64" s="160"/>
      <c r="E64" s="159"/>
      <c r="F64" s="490" t="s">
        <v>193</v>
      </c>
      <c r="G64" s="490"/>
      <c r="H64" s="490"/>
      <c r="I64" s="159"/>
      <c r="J64" s="153"/>
      <c r="K64" s="153"/>
      <c r="L64" s="153"/>
      <c r="M64" s="153"/>
      <c r="N64" s="153"/>
      <c r="O64" s="153"/>
      <c r="P64" s="153"/>
      <c r="Q64" s="119"/>
      <c r="R64" s="16"/>
      <c r="S64" s="16"/>
      <c r="T64" s="16"/>
      <c r="U64" s="16"/>
      <c r="V64" s="16"/>
      <c r="W64" s="16"/>
      <c r="X64" s="16"/>
      <c r="Y64" s="16"/>
    </row>
    <row r="65" spans="1:26" ht="3" customHeight="1" x14ac:dyDescent="0.2">
      <c r="A65" s="119"/>
      <c r="B65" s="153"/>
      <c r="C65" s="159"/>
      <c r="D65" s="159"/>
      <c r="E65" s="159"/>
      <c r="F65" s="159"/>
      <c r="G65" s="159"/>
      <c r="H65" s="161"/>
      <c r="I65" s="159"/>
      <c r="J65" s="153"/>
      <c r="K65" s="153"/>
      <c r="L65" s="153"/>
      <c r="M65" s="153"/>
      <c r="N65" s="153"/>
      <c r="O65" s="153"/>
      <c r="P65" s="153"/>
      <c r="Q65" s="119"/>
      <c r="R65" s="16"/>
      <c r="S65" s="16"/>
      <c r="T65" s="16"/>
      <c r="U65" s="16"/>
      <c r="V65" s="16"/>
      <c r="W65" s="16"/>
      <c r="X65" s="16"/>
      <c r="Y65" s="16"/>
    </row>
    <row r="66" spans="1:26" x14ac:dyDescent="0.2">
      <c r="A66" s="119"/>
      <c r="B66" s="153"/>
      <c r="C66" s="162" t="str">
        <f>IF(OR(D7=Datos!AF66,D7=Datos!AF67,D7=Datos!AF65),"Indemnización de MUFACE por Jubilación forzosa o por Incapacidad","")</f>
        <v/>
      </c>
      <c r="D66" s="159"/>
      <c r="E66" s="159"/>
      <c r="F66" s="159"/>
      <c r="G66" s="159"/>
      <c r="H66" s="17" t="str">
        <f>IF(D7=Datos!AF64,"",IF(D9=Datos!AF69,Retribuciones!AR13,IF(D9=Datos!AF70,Retribuciones!AR12,IF(D9=Datos!AF71,Retribuciones!AR11,IF(D9=Datos!AF72,Retribuciones!AR10,IF(D9=Datos!AF73,Retribuciones!AR9,IF(D9=Datos!AF74,Retribuciones!AR8,IF(D9=Datos!AF75,Retribuciones!AR7,IF(D9=Datos!AF76,Retribuciones!AR6,IF(D9=Datos!AF77,Retribuciones!AR5,IF(D9=Datos!AF78,Retribuciones!AR4,0)))))))))))</f>
        <v/>
      </c>
      <c r="I66" s="159"/>
      <c r="J66" s="153"/>
      <c r="K66" s="153"/>
      <c r="L66" s="153"/>
      <c r="M66" s="153"/>
      <c r="N66" s="153"/>
      <c r="O66" s="153"/>
      <c r="P66" s="153"/>
      <c r="Q66" s="119"/>
      <c r="R66" s="16"/>
      <c r="S66" s="16"/>
      <c r="T66" s="16"/>
      <c r="U66" s="16"/>
      <c r="V66" s="16"/>
      <c r="W66" s="16"/>
      <c r="X66" s="16"/>
      <c r="Y66" s="16"/>
    </row>
    <row r="67" spans="1:26" ht="3" customHeight="1" x14ac:dyDescent="0.2">
      <c r="A67" s="119"/>
      <c r="B67" s="153"/>
      <c r="C67" s="159"/>
      <c r="D67" s="159"/>
      <c r="E67" s="159"/>
      <c r="F67" s="159"/>
      <c r="G67" s="159"/>
      <c r="H67" s="159"/>
      <c r="I67" s="159"/>
      <c r="J67" s="153"/>
      <c r="K67" s="153"/>
      <c r="L67" s="153"/>
      <c r="M67" s="153"/>
      <c r="N67" s="153"/>
      <c r="O67" s="153"/>
      <c r="P67" s="153"/>
      <c r="Q67" s="119"/>
      <c r="R67" s="16"/>
      <c r="S67" s="16"/>
      <c r="T67" s="16"/>
      <c r="U67" s="16"/>
      <c r="V67" s="16"/>
      <c r="W67" s="16"/>
      <c r="X67" s="16"/>
      <c r="Y67" s="16"/>
    </row>
    <row r="68" spans="1:26" x14ac:dyDescent="0.2">
      <c r="A68" s="119"/>
      <c r="B68" s="153"/>
      <c r="C68" s="160" t="str">
        <f>IF(OR(D7=Datos!AF66,D7=Datos!AF67),"Indemnización por Incapacidad o Fallecimiento. Hay que solicitarla","")</f>
        <v/>
      </c>
      <c r="D68" s="159"/>
      <c r="E68" s="159"/>
      <c r="F68" s="159"/>
      <c r="G68" s="159"/>
      <c r="H68" s="17" t="str">
        <f>IF(OR(D7=Datos!AF66,D7=Datos!AF67),6010.12,"")</f>
        <v/>
      </c>
      <c r="I68" s="159"/>
      <c r="J68" s="489" t="str">
        <f>IF(OR(D7=Datos!AF66,D7=Datos!AF67),"Información de la indemnización","")</f>
        <v/>
      </c>
      <c r="K68" s="489"/>
      <c r="L68" s="489"/>
      <c r="M68" s="489"/>
      <c r="N68" s="489"/>
      <c r="O68" s="153"/>
      <c r="P68" s="153"/>
      <c r="Q68" s="119"/>
      <c r="R68" s="16"/>
      <c r="S68" s="16"/>
      <c r="T68" s="16"/>
      <c r="U68" s="16"/>
      <c r="V68" s="16"/>
      <c r="W68" s="16"/>
      <c r="X68" s="16"/>
      <c r="Y68" s="16"/>
    </row>
    <row r="69" spans="1:26" ht="3" customHeight="1" x14ac:dyDescent="0.2">
      <c r="A69" s="119"/>
      <c r="B69" s="153"/>
      <c r="C69" s="159"/>
      <c r="D69" s="159"/>
      <c r="E69" s="159"/>
      <c r="F69" s="159"/>
      <c r="G69" s="159"/>
      <c r="H69" s="159"/>
      <c r="I69" s="159"/>
      <c r="J69" s="153"/>
      <c r="K69" s="153"/>
      <c r="L69" s="153"/>
      <c r="M69" s="153"/>
      <c r="N69" s="153"/>
      <c r="O69" s="153"/>
      <c r="P69" s="153"/>
      <c r="Q69" s="119"/>
      <c r="R69" s="16"/>
      <c r="S69" s="16"/>
      <c r="T69" s="16"/>
      <c r="U69" s="16"/>
      <c r="V69" s="16"/>
      <c r="W69" s="16"/>
      <c r="X69" s="16"/>
      <c r="Y69" s="16"/>
    </row>
    <row r="70" spans="1:26" ht="3" customHeight="1" x14ac:dyDescent="0.2">
      <c r="A70" s="119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19"/>
      <c r="R70" s="16"/>
      <c r="S70" s="16"/>
      <c r="T70" s="16"/>
      <c r="U70" s="16"/>
      <c r="V70" s="16"/>
      <c r="W70" s="16"/>
      <c r="X70" s="16"/>
      <c r="Y70" s="16"/>
    </row>
    <row r="71" spans="1:26" x14ac:dyDescent="0.2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6"/>
      <c r="S71" s="16"/>
      <c r="T71" s="16"/>
      <c r="U71" s="16"/>
      <c r="V71" s="16"/>
      <c r="W71" s="16"/>
      <c r="X71" s="16"/>
      <c r="Y71" s="16"/>
    </row>
    <row r="72" spans="1:26" x14ac:dyDescent="0.2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376">
        <v>44489</v>
      </c>
      <c r="O72" s="119"/>
      <c r="P72" s="119"/>
      <c r="Q72" s="119"/>
      <c r="R72" s="16"/>
      <c r="S72" s="16"/>
      <c r="T72" s="16"/>
      <c r="U72" s="16"/>
      <c r="V72" s="16"/>
      <c r="W72" s="16"/>
      <c r="X72" s="16"/>
      <c r="Y72" s="16"/>
    </row>
    <row r="73" spans="1:26" x14ac:dyDescent="0.2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6"/>
      <c r="S73" s="16"/>
      <c r="T73" s="16"/>
      <c r="U73" s="16"/>
      <c r="V73" s="16"/>
      <c r="W73" s="16"/>
      <c r="X73" s="16"/>
      <c r="Y73" s="16"/>
    </row>
    <row r="74" spans="1:26" x14ac:dyDescent="0.2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6"/>
      <c r="S74" s="16"/>
      <c r="T74" s="16"/>
      <c r="U74" s="16"/>
      <c r="V74" s="16"/>
      <c r="W74" s="16"/>
      <c r="X74" s="16"/>
      <c r="Y74" s="16"/>
    </row>
    <row r="75" spans="1:26" x14ac:dyDescent="0.2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6"/>
      <c r="S75" s="16"/>
      <c r="T75" s="16"/>
      <c r="U75" s="16"/>
      <c r="V75" s="16"/>
      <c r="W75" s="16"/>
      <c r="X75" s="16"/>
      <c r="Y75" s="16"/>
    </row>
    <row r="76" spans="1:26" x14ac:dyDescent="0.2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6"/>
      <c r="S76" s="16"/>
      <c r="T76" s="16"/>
      <c r="U76" s="16"/>
      <c r="V76" s="16"/>
      <c r="W76" s="16"/>
      <c r="X76" s="16"/>
      <c r="Y76" s="16"/>
    </row>
    <row r="77" spans="1:26" x14ac:dyDescent="0.2">
      <c r="A77" s="16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6"/>
      <c r="S77" s="16"/>
      <c r="T77" s="16"/>
      <c r="U77" s="16"/>
      <c r="V77" s="16"/>
      <c r="W77" s="16"/>
      <c r="X77" s="16"/>
      <c r="Y77" s="16"/>
      <c r="Z77" s="16"/>
    </row>
    <row r="78" spans="1:2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</sheetData>
  <sheetProtection algorithmName="SHA-512" hashValue="SWBBFP8zTb6KBkG9faCnLDEcEUxWi3GEY8AS4VX4mLQo5T7hoMypXssSL6DOt9XJ1zWXIj4ZKNIxjJBZIM/OlQ==" saltValue="UCxxdNELBJeivuIdnQDpbw==" spinCount="100000" sheet="1" objects="1" scenarios="1"/>
  <mergeCells count="23">
    <mergeCell ref="D55:N55"/>
    <mergeCell ref="J68:N68"/>
    <mergeCell ref="F64:H64"/>
    <mergeCell ref="D41:F41"/>
    <mergeCell ref="H25:L25"/>
    <mergeCell ref="D25:F25"/>
    <mergeCell ref="H33:P33"/>
    <mergeCell ref="C1:O1"/>
    <mergeCell ref="C2:O2"/>
    <mergeCell ref="C4:O4"/>
    <mergeCell ref="D37:F37"/>
    <mergeCell ref="D39:F39"/>
    <mergeCell ref="D35:F35"/>
    <mergeCell ref="H17:N17"/>
    <mergeCell ref="D17:F17"/>
    <mergeCell ref="D19:F19"/>
    <mergeCell ref="D23:F23"/>
    <mergeCell ref="D27:F27"/>
    <mergeCell ref="D7:J7"/>
    <mergeCell ref="D9:J9"/>
    <mergeCell ref="D11:F11"/>
    <mergeCell ref="D21:F21"/>
    <mergeCell ref="D33:F33"/>
  </mergeCells>
  <hyperlinks>
    <hyperlink ref="J68:N68" r:id="rId1" display="http://www.gobiernodecanarias.org/cpj/dgfp/empleados_publicos/polizas/documentacion_lugares_contacto.pdf" xr:uid="{00000000-0004-0000-0100-000000000000}"/>
    <hyperlink ref="F64:H64" r:id="rId2" display="Información" xr:uid="{00000000-0004-0000-0100-000001000000}"/>
    <hyperlink ref="H25:L25" location="'Tiempos de cotización'!A1" display="Ver pestaña &quot;Tiempos cotizados&quot;" xr:uid="{00000000-0004-0000-0100-000002000000}"/>
  </hyperlinks>
  <pageMargins left="0.70866141732283472" right="0.70866141732283472" top="0.27559055118110237" bottom="0.27559055118110237" header="0.31496062992125984" footer="0.31496062992125984"/>
  <pageSetup paperSize="9" scale="22" orientation="landscape" horizontalDpi="1200" verticalDpi="1200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D2:L9"/>
  <sheetViews>
    <sheetView workbookViewId="0">
      <selection activeCell="L10" sqref="L10"/>
    </sheetView>
    <sheetView workbookViewId="1"/>
  </sheetViews>
  <sheetFormatPr baseColWidth="10" defaultRowHeight="12.75" x14ac:dyDescent="0.2"/>
  <sheetData>
    <row r="2" spans="4:12" x14ac:dyDescent="0.2">
      <c r="D2" s="316">
        <v>40460</v>
      </c>
    </row>
    <row r="3" spans="4:12" x14ac:dyDescent="0.2">
      <c r="D3" s="316">
        <f>+D2*1.5%</f>
        <v>606.9</v>
      </c>
    </row>
    <row r="4" spans="4:12" x14ac:dyDescent="0.2">
      <c r="D4" s="181">
        <f>+D3+D2</f>
        <v>41066.9</v>
      </c>
    </row>
    <row r="5" spans="4:12" x14ac:dyDescent="0.2">
      <c r="I5" s="181">
        <v>46968</v>
      </c>
    </row>
    <row r="6" spans="4:12" x14ac:dyDescent="0.2">
      <c r="D6" s="181"/>
    </row>
    <row r="7" spans="4:12" x14ac:dyDescent="0.2">
      <c r="L7" s="316">
        <v>43942</v>
      </c>
    </row>
    <row r="8" spans="4:12" x14ac:dyDescent="0.2">
      <c r="L8">
        <v>60</v>
      </c>
    </row>
    <row r="9" spans="4:12" x14ac:dyDescent="0.2">
      <c r="L9" s="316">
        <f>+L7+L8</f>
        <v>44002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65"/>
  <sheetViews>
    <sheetView workbookViewId="0">
      <selection activeCell="G37" sqref="G37"/>
    </sheetView>
    <sheetView workbookViewId="1"/>
  </sheetViews>
  <sheetFormatPr baseColWidth="10" defaultRowHeight="12.95" customHeight="1" x14ac:dyDescent="0.2"/>
  <cols>
    <col min="1" max="1" width="4.42578125" style="3" customWidth="1"/>
    <col min="2" max="2" width="3.42578125" style="3" customWidth="1"/>
    <col min="3" max="3" width="91" style="3" bestFit="1" customWidth="1"/>
    <col min="4" max="4" width="5.42578125" style="3" hidden="1" customWidth="1"/>
    <col min="5" max="5" width="6.5703125" style="3" hidden="1" customWidth="1"/>
    <col min="6" max="6" width="4.85546875" style="3" hidden="1" customWidth="1"/>
    <col min="7" max="7" width="6.5703125" style="3" bestFit="1" customWidth="1"/>
    <col min="8" max="8" width="21.7109375" style="3" bestFit="1" customWidth="1"/>
    <col min="9" max="9" width="2.5703125" style="3" customWidth="1"/>
    <col min="10" max="10" width="3" style="3" hidden="1" customWidth="1"/>
    <col min="11" max="11" width="9.5703125" style="3" hidden="1" customWidth="1"/>
    <col min="12" max="12" width="14" style="3" hidden="1" customWidth="1"/>
    <col min="13" max="13" width="15" style="3" hidden="1" customWidth="1"/>
    <col min="14" max="14" width="23" style="3" hidden="1" customWidth="1"/>
    <col min="15" max="15" width="19.85546875" style="3" hidden="1" customWidth="1"/>
    <col min="16" max="16" width="11.42578125" style="3" hidden="1" customWidth="1"/>
    <col min="17" max="17" width="4.5703125" style="3" hidden="1" customWidth="1"/>
    <col min="18" max="18" width="3" style="3" hidden="1" customWidth="1"/>
    <col min="19" max="19" width="5.7109375" style="3" hidden="1" customWidth="1"/>
    <col min="20" max="22" width="3" style="3" hidden="1" customWidth="1"/>
    <col min="23" max="23" width="6.85546875" style="3" hidden="1" customWidth="1"/>
    <col min="24" max="24" width="3" style="3" hidden="1" customWidth="1"/>
    <col min="25" max="25" width="9.140625" style="3" hidden="1" customWidth="1"/>
    <col min="26" max="26" width="7.85546875" style="3" hidden="1" customWidth="1"/>
    <col min="27" max="27" width="6.28515625" style="3" hidden="1" customWidth="1"/>
    <col min="28" max="28" width="10.42578125" style="3" hidden="1" customWidth="1"/>
    <col min="29" max="29" width="6.28515625" style="3" hidden="1" customWidth="1"/>
    <col min="30" max="36" width="11.42578125" style="3" hidden="1" customWidth="1"/>
    <col min="37" max="37" width="11.5703125" style="3" customWidth="1"/>
    <col min="38" max="41" width="11.42578125" style="3" customWidth="1"/>
    <col min="42" max="16384" width="11.42578125" style="3"/>
  </cols>
  <sheetData>
    <row r="1" spans="2:33" ht="15.75" customHeight="1" x14ac:dyDescent="0.2">
      <c r="B1" s="2"/>
      <c r="C1" s="493" t="s">
        <v>333</v>
      </c>
      <c r="D1" s="494"/>
      <c r="E1" s="494"/>
      <c r="F1" s="494"/>
      <c r="G1" s="494"/>
      <c r="H1" s="494"/>
      <c r="K1" s="498" t="s">
        <v>242</v>
      </c>
      <c r="L1" s="498"/>
    </row>
    <row r="2" spans="2:33" ht="17.25" x14ac:dyDescent="0.25">
      <c r="B2" s="2"/>
      <c r="C2" s="495" t="s">
        <v>34</v>
      </c>
      <c r="D2" s="495"/>
      <c r="E2" s="495"/>
      <c r="F2" s="495"/>
      <c r="G2" s="495"/>
      <c r="H2" s="495"/>
      <c r="K2" s="498"/>
      <c r="L2" s="498"/>
    </row>
    <row r="3" spans="2:33" ht="18" x14ac:dyDescent="0.25">
      <c r="B3" s="2"/>
      <c r="C3" s="496" t="s">
        <v>101</v>
      </c>
      <c r="D3" s="497"/>
      <c r="E3" s="497"/>
      <c r="F3" s="497"/>
      <c r="G3" s="497"/>
      <c r="H3" s="497"/>
      <c r="K3" s="339"/>
      <c r="L3" s="339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</row>
    <row r="4" spans="2:33" ht="18" x14ac:dyDescent="0.2">
      <c r="C4" s="85" t="s">
        <v>133</v>
      </c>
      <c r="D4" s="302" t="s">
        <v>6</v>
      </c>
      <c r="E4" s="302" t="s">
        <v>7</v>
      </c>
      <c r="F4" s="302" t="s">
        <v>8</v>
      </c>
      <c r="G4" s="86" t="s">
        <v>8</v>
      </c>
      <c r="H4" s="86" t="s">
        <v>161</v>
      </c>
      <c r="K4" s="192" t="s">
        <v>158</v>
      </c>
      <c r="L4" s="192" t="s">
        <v>159</v>
      </c>
      <c r="Q4" s="107"/>
      <c r="R4" s="107"/>
      <c r="S4" s="107" t="s">
        <v>176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</row>
    <row r="5" spans="2:33" ht="12.75" x14ac:dyDescent="0.2">
      <c r="B5" s="3" t="s">
        <v>1</v>
      </c>
      <c r="C5" s="10" t="s">
        <v>33</v>
      </c>
      <c r="D5" s="303">
        <f>+Datos!E28</f>
        <v>0</v>
      </c>
      <c r="E5" s="303">
        <f>+Datos!F28</f>
        <v>0</v>
      </c>
      <c r="F5" s="303">
        <f>+Datos!G28</f>
        <v>0</v>
      </c>
      <c r="G5" s="314">
        <f>INT(+(D5*365.25)+(E5*30.4275)+F5)</f>
        <v>0</v>
      </c>
      <c r="H5" s="36" t="str">
        <f t="shared" ref="H5:H10" si="0">IF(G5&gt;0,CONCATENATE(ROUNDDOWN((G5)/365.25,0)," años ",ROUNDDOWN(((((G5)/365.25)-(ROUNDDOWN((G5)/365.25,0)))*12),0)," meses ",ROUNDUP((((((G5)/365.25)-(ROUNDDOWN((G5)/365.25,0)))*12)-(ROUNDDOWN(((((G5)/365.25)-(ROUNDDOWN((G5)/365.25,0)))*12),0)))*30.4375,0)," días.")," ")</f>
        <v xml:space="preserve"> </v>
      </c>
      <c r="J5" s="89" t="s">
        <v>1</v>
      </c>
      <c r="K5" s="190">
        <f>ROUNDDOWN(((G10+G9+G8+G7+G6+G5)/365.25)/3,0)-K10-K9-K8-K7-K6</f>
        <v>0</v>
      </c>
      <c r="L5" s="190">
        <f>ROUNDDOWN((+((G5+G15+G6+G14)/365.25)/6),0)</f>
        <v>4</v>
      </c>
      <c r="N5" s="340" t="s">
        <v>250</v>
      </c>
      <c r="Q5" s="107"/>
      <c r="R5" s="37" t="str">
        <f>+B19</f>
        <v>A1</v>
      </c>
      <c r="S5" s="112">
        <f>+G5+G14+AK27+G19+G27+G33</f>
        <v>0</v>
      </c>
      <c r="T5" s="16">
        <f>ROUNDDOWN(S5/365.25,0)</f>
        <v>0</v>
      </c>
      <c r="U5" s="16">
        <f>ROUNDDOWN(((S5/365.25)-T5)*12,0)</f>
        <v>0</v>
      </c>
      <c r="V5" s="16">
        <f>ROUNDDOWN(((((+S5/365.25)-T5)*12)-U5)*30.4375,0)</f>
        <v>0</v>
      </c>
      <c r="W5" s="107">
        <f>IF(S5&gt;0,S5,0)</f>
        <v>0</v>
      </c>
      <c r="X5" s="172">
        <f>INT(W5/365.25)</f>
        <v>0</v>
      </c>
      <c r="Y5" s="113">
        <f>+'Haber Regulador'!E5</f>
        <v>42563.68</v>
      </c>
      <c r="Z5" s="107">
        <f>IF(X6&gt;0,Y5-Y6,IF(X7&gt;0,Y5-Y7,IF(X8&gt;0,Y5-Y8,IF(W9&gt;0,Y5-Y9,Y5))))</f>
        <v>9065</v>
      </c>
      <c r="AA5" s="109">
        <f>IF($X5=1,1.24%,IF($X5=2,2.55%,IF($X5=3,3.88%,IF($X5=4,5.31%,IF($X5=5,6.83%,IF($X5=6,8.43%,IF($X5=7,10.11%,IF($X5=8,11.88%,IF($X5=9,13.73%,IF($X5=10,15.67%,IF($X5=11,17.71%,IF($X5=12,19.86%,IF($X5=13,22.1%,IF($X5=14,24.45%,IF($X5=15,26.92%,IF($X5=16,30.57%,IF($X5=17,34.23%,IF($X5=18,37.88%,IF($X5=19,41.54%,IF($X5=20,45.19%,IF($X5=21,48.84%,IF($X5=22,52.5%,IF($X5=23,56.15%,IF($X5=24,59.81%,IF($X5=25,63.46%,IF($X5=26,67.11%,IF($X5=27,70.77%,IF($X5=28,74.42%,IF($X5=29,78.08%,IF($X5=30,81.73%,IF($X5=31,85.38%,IF($X5=32,89.04%,IF($X5=33,92.69%,IF($X5=34,96.35%,IF($X5&gt;34,100%,0)))))))))))))))))))))))))))))))))))</f>
        <v>0</v>
      </c>
      <c r="AB5" s="37">
        <f>+Z5*AA5</f>
        <v>0</v>
      </c>
      <c r="AC5" s="107"/>
    </row>
    <row r="6" spans="2:33" ht="12.75" x14ac:dyDescent="0.2">
      <c r="B6" s="3" t="s">
        <v>2</v>
      </c>
      <c r="C6" s="20" t="s">
        <v>32</v>
      </c>
      <c r="D6" s="303">
        <f>+Datos!E30</f>
        <v>28</v>
      </c>
      <c r="E6" s="303">
        <f>+Datos!F30</f>
        <v>11</v>
      </c>
      <c r="F6" s="303">
        <f>+Datos!G30</f>
        <v>5</v>
      </c>
      <c r="G6" s="314">
        <f t="shared" ref="G6:G10" si="1">INT(+(D6*365.25)+(E6*30.4275)+F6)</f>
        <v>10566</v>
      </c>
      <c r="H6" s="36" t="str">
        <f t="shared" si="0"/>
        <v>28 años 11 meses 5 días.</v>
      </c>
      <c r="J6" s="89" t="s">
        <v>2</v>
      </c>
      <c r="K6" s="190">
        <f>ROUNDDOWN(((G10+G9+G8+G7+G6)/365.25)/3,0)-K10-K9-K8-K7</f>
        <v>9</v>
      </c>
      <c r="M6" s="193" t="s">
        <v>251</v>
      </c>
      <c r="N6" s="36" t="str">
        <f>IF(O6&gt;0,CONCATENATE(ROUNDDOWN((O6)/365.25,0)," años ",ROUNDDOWN(((((O6)/365.25)-(ROUNDDOWN((O6)/365.25,0)))*12),0)," meses ",ROUNDUP((((((O6)/365.25)-(ROUNDDOWN((O6)/365.25,0)))*12)-(ROUNDDOWN(((((O6)/365.25)-(ROUNDDOWN((O6)/365.25,0)))*12),0)))*30.4375,0)," días.")," ")</f>
        <v>1 años 11 meses 5 días.</v>
      </c>
      <c r="O6" s="89">
        <f>G11-(K11*365.25*3)</f>
        <v>704.25</v>
      </c>
      <c r="Q6" s="107"/>
      <c r="R6" s="37" t="str">
        <f>+B20</f>
        <v>A2</v>
      </c>
      <c r="S6" s="112">
        <f>+G6+G15+G28+G20+G34</f>
        <v>10674</v>
      </c>
      <c r="T6" s="16">
        <f t="shared" ref="T6:T10" si="2">ROUNDDOWN(S6/365.25,0)</f>
        <v>29</v>
      </c>
      <c r="U6" s="16">
        <f t="shared" ref="U6:U10" si="3">ROUNDDOWN(((S6/365.25)-T6)*12,0)</f>
        <v>2</v>
      </c>
      <c r="V6" s="16">
        <f t="shared" ref="V6:V10" si="4">ROUNDDOWN(((((+S6/365.25)-T6)*12)-U6)*30.4375,0)</f>
        <v>20</v>
      </c>
      <c r="W6" s="107">
        <f>IF(S6&gt;0,S6+S5,0)</f>
        <v>10674</v>
      </c>
      <c r="X6" s="172">
        <f>INT(W6/365.25)</f>
        <v>29</v>
      </c>
      <c r="Y6" s="113">
        <f>+'Haber Regulador'!H5</f>
        <v>33498.68</v>
      </c>
      <c r="Z6" s="107">
        <f>IF(X7&gt;0,Y6-Y7,IF(X8&gt;0,Y6-Y8,IF(X9&gt;0,Y6-Y9,Y6)))</f>
        <v>7771.119999999999</v>
      </c>
      <c r="AA6" s="109">
        <f>IF($X6=1,1.24%,IF($X6=2,2.55%,IF($X6=3,3.88%,IF($X6=4,5.31%,IF($X6=5,6.83%,IF($X6=6,8.43%,IF($X6=7,10.11%,IF($X6=8,11.88%,IF($X6=9,13.73%,IF($X6=10,15.67%,IF($X6=11,17.71%,IF($X6=12,19.86%,IF($X6=13,22.1%,IF($X6=14,24.45%,IF($X6=15,26.92%,IF($X6=16,30.57%,IF($X6=17,34.23%,IF($X6=18,37.88%,IF($X6=19,41.54%,IF($X6=20,45.19%,IF($X6=21,48.84%,IF($X6=22,52.5%,IF($X6=23,56.15%,IF($X6=24,59.81%,IF($X6=25,63.46%,IF($X6=26,67.11%,IF($X6=27,70.77%,IF($X6=28,74.42%,IF($X6=29,78.08%,IF($X6=30,81.73%,IF($X6=31,85.38%,IF($X6=32,89.04%,IF($X6=33,92.69%,IF($X6=34,96.35%,IF($X6&gt;34,100%,0)))))))))))))))))))))))))))))))))))</f>
        <v>0.78079999999999994</v>
      </c>
      <c r="AB6" s="37">
        <f t="shared" ref="AB6:AB8" si="5">+Z6*AA6</f>
        <v>6067.6904959999983</v>
      </c>
      <c r="AC6" s="111">
        <f>+IRPFPensiónMax!B37</f>
        <v>0.19047329626122581</v>
      </c>
    </row>
    <row r="7" spans="2:33" ht="12.75" x14ac:dyDescent="0.2">
      <c r="B7" s="3" t="s">
        <v>60</v>
      </c>
      <c r="C7" s="10" t="s">
        <v>31</v>
      </c>
      <c r="D7" s="303">
        <f>+Datos!E32</f>
        <v>0</v>
      </c>
      <c r="E7" s="303">
        <f>+Datos!F32</f>
        <v>0</v>
      </c>
      <c r="F7" s="303">
        <f>+Datos!G32</f>
        <v>0</v>
      </c>
      <c r="G7" s="314"/>
      <c r="H7" s="36" t="str">
        <f t="shared" si="0"/>
        <v xml:space="preserve"> </v>
      </c>
      <c r="J7" s="89" t="s">
        <v>60</v>
      </c>
      <c r="K7" s="190">
        <f>ROUNDDOWN(((G10+G9+G8+G7)/365.25)/3,0)-K10-K9-K8</f>
        <v>0</v>
      </c>
      <c r="Q7" s="107"/>
      <c r="R7" s="37" t="str">
        <f>+B21</f>
        <v>C1</v>
      </c>
      <c r="S7" s="112">
        <f>+G8+G21+G35</f>
        <v>1440</v>
      </c>
      <c r="T7" s="16">
        <f t="shared" si="2"/>
        <v>3</v>
      </c>
      <c r="U7" s="16">
        <f t="shared" si="3"/>
        <v>11</v>
      </c>
      <c r="V7" s="16">
        <f t="shared" si="4"/>
        <v>9</v>
      </c>
      <c r="W7" s="107">
        <f>IF(S7&gt;0,S7+S6+S5,0)</f>
        <v>12114</v>
      </c>
      <c r="X7" s="172">
        <f>INT(W7/365.25)</f>
        <v>33</v>
      </c>
      <c r="Y7" s="113">
        <f>+'Haber Regulador'!N5</f>
        <v>25727.56</v>
      </c>
      <c r="Z7" s="107">
        <f>IF(X8&gt;0,Y7-Y8,IF(X9&gt;0,Y7-Y9,Y7))</f>
        <v>25727.56</v>
      </c>
      <c r="AA7" s="109">
        <f>IF($X7=1,1.24%,IF($X7=2,2.55%,IF($X7=3,3.88%,IF($X7=4,5.31%,IF($X7=5,6.83%,IF($X7=6,8.43%,IF($X7=7,10.11%,IF($X7=8,11.88%,IF($X7=9,13.73%,IF($X7=10,15.67%,IF($X7=11,17.71%,IF($X7=12,19.86%,IF($X7=13,22.1%,IF($X7=14,24.45%,IF($X7=15,26.92%,IF($X7=16,30.57%,IF($X7=17,34.23%,IF($X7=18,37.88%,IF($X7=19,41.54%,IF($X7=20,45.19%,IF($X7=21,48.84%,IF($X7=22,52.5%,IF($X7=23,56.15%,IF($X7=24,59.81%,IF($X7=25,63.46%,IF($X7=26,67.11%,IF($X7=27,70.77%,IF($X7=28,74.42%,IF($X7=29,78.08%,IF($X7=30,81.73%,IF($X7=31,85.38%,IF($X7=32,89.04%,IF($X7=33,92.69%,IF($X7=34,96.35%,IF($X7&gt;34,100%,0)))))))))))))))))))))))))))))))))))</f>
        <v>0.92689999999999995</v>
      </c>
      <c r="AB7" s="37">
        <f t="shared" si="5"/>
        <v>23846.875364</v>
      </c>
      <c r="AC7" s="107"/>
    </row>
    <row r="8" spans="2:33" ht="12.75" x14ac:dyDescent="0.2">
      <c r="B8" s="3" t="s">
        <v>61</v>
      </c>
      <c r="C8" s="10" t="s">
        <v>30</v>
      </c>
      <c r="D8" s="303">
        <f>+Datos!E34</f>
        <v>0</v>
      </c>
      <c r="E8" s="303">
        <f>+Datos!F34</f>
        <v>0</v>
      </c>
      <c r="F8" s="303">
        <f>+Datos!G34</f>
        <v>0</v>
      </c>
      <c r="G8" s="314">
        <f t="shared" si="1"/>
        <v>0</v>
      </c>
      <c r="H8" s="36" t="str">
        <f t="shared" si="0"/>
        <v xml:space="preserve"> </v>
      </c>
      <c r="J8" s="89" t="s">
        <v>61</v>
      </c>
      <c r="K8" s="190">
        <f>ROUNDDOWN(((+G10+G9+G8)/365.25)/3,0)-K10-K9</f>
        <v>0</v>
      </c>
      <c r="M8" s="193" t="s">
        <v>252</v>
      </c>
      <c r="N8" s="36" t="str">
        <f>IF(O8&gt;0,CONCATENATE(ROUNDDOWN((O8)/365.25,0)," años ",ROUNDDOWN(((((O8)/365.25)-(ROUNDDOWN((O8)/365.25,0)))*12),0)," meses ",ROUNDUP((((((O8)/365.25)-(ROUNDDOWN((O8)/365.25,0)))*12)-(ROUNDDOWN(((((O8)/365.25)-(ROUNDDOWN((O8)/365.25,0)))*12),0)))*30.4375,0)," días.")," ")</f>
        <v>4 años 11 meses 5 días.</v>
      </c>
      <c r="O8" s="89">
        <f>(G5+G6)-(L5*365.25*6)</f>
        <v>1800</v>
      </c>
      <c r="Q8" s="107"/>
      <c r="R8" s="37" t="str">
        <f>+B22</f>
        <v>C2</v>
      </c>
      <c r="S8" s="112">
        <f>+G9+G22+G36</f>
        <v>0</v>
      </c>
      <c r="T8" s="16">
        <f t="shared" si="2"/>
        <v>0</v>
      </c>
      <c r="U8" s="16">
        <f t="shared" si="3"/>
        <v>0</v>
      </c>
      <c r="V8" s="16">
        <f t="shared" si="4"/>
        <v>0</v>
      </c>
      <c r="W8" s="107">
        <f>IF(S8&gt;0,S8+S7+S6+S5,0)</f>
        <v>0</v>
      </c>
      <c r="X8" s="172">
        <f t="shared" ref="X8" si="6">INT(W8/365.25)</f>
        <v>0</v>
      </c>
      <c r="Y8" s="113">
        <f>+'Haber Regulador'!Q5</f>
        <v>20354.759999999998</v>
      </c>
      <c r="Z8" s="107">
        <f>IF(X9&gt;0,Y8-Y9,Y8)</f>
        <v>20354.759999999998</v>
      </c>
      <c r="AA8" s="109">
        <f>IF($X8=1,1.24%,IF($X8=2,2.55%,IF($X8=3,3.88%,IF($X8=4,5.31%,IF($X8=5,6.83%,IF($X8=6,8.43%,IF($X8=7,10.11%,IF($X8=8,11.88%,IF($X8=9,13.73%,IF($X8=10,15.67%,IF($X8=11,17.71%,IF($X8=12,19.86%,IF($X8=13,22.1%,IF($X8=14,24.45%,IF($X8=15,26.92%,IF($X8=16,30.57%,IF($X8=17,34.23%,IF($X8=18,37.88%,IF($X8=19,41.54%,IF($X8=20,45.19%,IF($X8=21,48.84%,IF($X8=22,52.5%,IF($X8=23,56.15%,IF($X8=24,59.81%,IF($X8=25,63.46%,IF($X8=26,67.11%,IF($X8=27,70.77%,IF($X8=28,74.42%,IF($X8=29,78.08%,IF($X8=30,81.73%,IF($X8=31,85.38%,IF($X8=32,89.04%,IF($X8=33,92.69%,IF($X8=34,96.35%,IF($X8&gt;34,100%,0)))))))))))))))))))))))))))))))))))</f>
        <v>0</v>
      </c>
      <c r="AB8" s="37">
        <f t="shared" si="5"/>
        <v>0</v>
      </c>
      <c r="AC8" s="107"/>
    </row>
    <row r="9" spans="2:33" ht="12.75" x14ac:dyDescent="0.2">
      <c r="B9" s="3" t="s">
        <v>62</v>
      </c>
      <c r="C9" s="10" t="s">
        <v>29</v>
      </c>
      <c r="D9" s="303">
        <f>+Datos!E36</f>
        <v>0</v>
      </c>
      <c r="E9" s="303">
        <f>+Datos!F36</f>
        <v>0</v>
      </c>
      <c r="F9" s="303">
        <f>+Datos!G36</f>
        <v>0</v>
      </c>
      <c r="G9" s="314">
        <f t="shared" si="1"/>
        <v>0</v>
      </c>
      <c r="H9" s="36" t="str">
        <f t="shared" si="0"/>
        <v xml:space="preserve"> </v>
      </c>
      <c r="J9" s="89" t="s">
        <v>62</v>
      </c>
      <c r="K9" s="190">
        <f>ROUNDDOWN(((+G10+G9)/365.25)/3,0)-K10</f>
        <v>0</v>
      </c>
      <c r="Q9" s="107"/>
      <c r="R9" s="37" t="str">
        <f>+B23</f>
        <v>E</v>
      </c>
      <c r="S9" s="112">
        <f>+G10+G23+G37</f>
        <v>0</v>
      </c>
      <c r="T9" s="16">
        <f t="shared" si="2"/>
        <v>0</v>
      </c>
      <c r="U9" s="16">
        <f t="shared" si="3"/>
        <v>0</v>
      </c>
      <c r="V9" s="16">
        <f t="shared" si="4"/>
        <v>0</v>
      </c>
      <c r="W9" s="107">
        <f>IF(S9&gt;0,S9+S8+S7+S6+S5,0)</f>
        <v>0</v>
      </c>
      <c r="X9" s="172">
        <f>INT(W9/365.25)</f>
        <v>0</v>
      </c>
      <c r="Y9" s="113">
        <f>+'Haber Regulador'!T5</f>
        <v>17354.060000000001</v>
      </c>
      <c r="Z9" s="110">
        <f>+Y9</f>
        <v>17354.060000000001</v>
      </c>
      <c r="AA9" s="109">
        <f>IF($X9=1,1.24%,IF($X9=2,2.55%,IF($X9=3,3.88%,IF($X9=4,5.31%,IF($X9=5,6.83%,IF($X9=6,8.43%,IF($X9=7,10.11%,IF($X9=8,11.88%,IF($X9=9,13.73%,IF($X9=10,15.67%,IF($X9=11,17.71%,IF($X9=12,19.86%,IF($X9=13,22.1%,IF($X9=14,24.45%,IF($X9=15,26.92%,IF($X9=16,30.57%,IF($X9=17,34.23%,IF($X9=18,37.88%,IF($X9=19,41.54%,IF($X9=20,45.19%,IF($X9=21,48.84%,IF($X9=22,52.5%,IF($X9=23,56.15%,IF($X9=24,59.81%,IF($X9=25,63.46%,IF($X9=26,67.11%,IF($X9=27,70.77%,IF($X9=28,74.42%,IF($X9=29,78.08%,IF($X9=30,81.73%,IF($X9=31,85.38%,IF($X9=32,89.04%,IF($X9=33,92.69%,IF($X9=34,96.35%,IF($X9&gt;34,100%,0)))))))))))))))))))))))))))))))))))</f>
        <v>0</v>
      </c>
      <c r="AB9" s="37">
        <f>+Z9*AA9</f>
        <v>0</v>
      </c>
      <c r="AC9" s="107"/>
    </row>
    <row r="10" spans="2:33" ht="12.75" x14ac:dyDescent="0.2">
      <c r="B10" s="3" t="s">
        <v>63</v>
      </c>
      <c r="C10" s="34" t="s">
        <v>28</v>
      </c>
      <c r="D10" s="303">
        <f>+Datos!E38</f>
        <v>0</v>
      </c>
      <c r="E10" s="303">
        <f>+Datos!F38</f>
        <v>0</v>
      </c>
      <c r="F10" s="303">
        <f>+Datos!G38</f>
        <v>0</v>
      </c>
      <c r="G10" s="314">
        <f t="shared" si="1"/>
        <v>0</v>
      </c>
      <c r="H10" s="36" t="str">
        <f t="shared" si="0"/>
        <v xml:space="preserve"> </v>
      </c>
      <c r="J10" s="89" t="s">
        <v>63</v>
      </c>
      <c r="K10" s="190">
        <f>ROUNDDOWN((+G10/365.25)/3,0)</f>
        <v>0</v>
      </c>
      <c r="M10" s="193" t="s">
        <v>253</v>
      </c>
      <c r="N10" s="36" t="str">
        <f>IF((G41-10958)&gt;0,CONCATENATE(ROUNDDOWN((IF((10958-G41)&lt;0,0,10958-G41))/365.25,0)," años ",ROUNDDOWN(((((IF((10958-G41)&lt;0,0,10958-G41))/365.25)-(ROUNDDOWN((IF((10958-G41)&lt;0,0,10958-G41))/365.25,0)))*12),0)," meses ",ROUNDUP((((((IF((10958-G41)&lt;0,0,10958-G41))/365.25)-(ROUNDDOWN((IF((10958-G41)&lt;0,0,10958-G41))/365.25,0)))*12)-(ROUNDDOWN(((((IF((10958-G41)&lt;0,0,10958-G41))/365.25)-(ROUNDDOWN((IF((10958-G41)&lt;0,0,10958-G41))/365.25,0)))*12),0)))*30.4375,0)," días."),"0 días")</f>
        <v>0 años 0 meses 0 días.</v>
      </c>
      <c r="Q10" s="108"/>
      <c r="R10" s="107"/>
      <c r="S10" s="112">
        <f>+G11++G16+G29+G24+G38</f>
        <v>12114</v>
      </c>
      <c r="T10" s="16">
        <f t="shared" si="2"/>
        <v>33</v>
      </c>
      <c r="U10" s="16">
        <f t="shared" si="3"/>
        <v>1</v>
      </c>
      <c r="V10" s="16">
        <f t="shared" si="4"/>
        <v>30</v>
      </c>
      <c r="W10" s="107"/>
      <c r="X10" s="107"/>
      <c r="Y10" s="107"/>
      <c r="Z10" s="107"/>
      <c r="AA10" s="107"/>
      <c r="AB10" s="114">
        <f>ROUND(IF(SUM(AB5:AB9)&gt;Y11,Y11,SUM(AB5:AB9)),2)</f>
        <v>29914.57</v>
      </c>
      <c r="AC10" s="107"/>
    </row>
    <row r="11" spans="2:33" ht="12.75" x14ac:dyDescent="0.2">
      <c r="C11" s="106" t="s">
        <v>97</v>
      </c>
      <c r="G11" s="38">
        <f>SUM(G5:G10)</f>
        <v>10566</v>
      </c>
      <c r="H11" s="36" t="str">
        <f>IF(G11&gt;0,CONCATENATE(ROUNDDOWN((G11)/365.25,0)," años ",ROUNDDOWN(((((G11)/365.25)-(ROUNDDOWN((G11)/365.25,0)))*12),0)," meses ",ROUNDUP((((((G11)/365.25)-(ROUNDDOWN((G11)/365.25,0)))*12)-(ROUNDDOWN(((((G11)/365.25)-(ROUNDDOWN((G11)/365.25,0)))*12),0)))*30.4375,0)," días.")," ")</f>
        <v>28 años 11 meses 5 días.</v>
      </c>
      <c r="K11" s="188">
        <f>SUM(K5:K10)</f>
        <v>9</v>
      </c>
      <c r="L11" s="191" t="s">
        <v>203</v>
      </c>
      <c r="Q11" s="107"/>
      <c r="R11" s="107"/>
      <c r="S11" s="108"/>
      <c r="T11" s="107"/>
      <c r="U11" s="107"/>
      <c r="V11" s="107"/>
      <c r="W11" s="37" t="s">
        <v>178</v>
      </c>
      <c r="X11" s="37"/>
      <c r="Y11" s="113">
        <f>+'Haber Regulador'!I43</f>
        <v>37904.86</v>
      </c>
      <c r="Z11" s="107"/>
      <c r="AA11" s="107"/>
      <c r="AB11" s="107"/>
      <c r="AC11" s="337" t="e">
        <f>+'IRPF A1'!B37</f>
        <v>#REF!</v>
      </c>
      <c r="AG11" s="177"/>
    </row>
    <row r="12" spans="2:33" ht="12.75" x14ac:dyDescent="0.2">
      <c r="K12" s="189"/>
      <c r="L12" s="189"/>
      <c r="M12" s="178"/>
      <c r="N12" s="189"/>
      <c r="Q12" s="107"/>
      <c r="R12" s="107"/>
      <c r="S12" s="108"/>
      <c r="T12" s="107"/>
      <c r="U12" s="107"/>
      <c r="V12" s="107"/>
      <c r="W12" s="37"/>
      <c r="X12" s="37"/>
      <c r="Y12" s="183"/>
      <c r="Z12" s="107"/>
      <c r="AA12" s="107"/>
      <c r="AB12" s="107"/>
      <c r="AC12" s="111"/>
      <c r="AG12" s="177"/>
    </row>
    <row r="13" spans="2:33" ht="31.5" x14ac:dyDescent="0.2">
      <c r="C13" s="184" t="s">
        <v>202</v>
      </c>
      <c r="D13" s="184"/>
      <c r="E13" s="184"/>
      <c r="F13" s="184"/>
      <c r="G13" s="185" t="s">
        <v>8</v>
      </c>
      <c r="H13" s="185" t="s">
        <v>161</v>
      </c>
    </row>
    <row r="14" spans="2:33" ht="12.75" x14ac:dyDescent="0.2">
      <c r="B14" s="3" t="s">
        <v>1</v>
      </c>
      <c r="C14" s="186" t="s">
        <v>33</v>
      </c>
      <c r="D14" s="186"/>
      <c r="E14" s="186"/>
      <c r="F14" s="186"/>
      <c r="G14" s="314">
        <f>IF(Datos!L13=Datos!AE73,+Datos!E15-Datos!E24,0)</f>
        <v>0</v>
      </c>
      <c r="H14" s="36" t="str">
        <f t="shared" ref="H14:H15" si="7">IF(G14&gt;0,CONCATENATE(ROUNDDOWN((G14)/365.25,0)," años ",ROUNDDOWN(((((G14)/365.25)-(ROUNDDOWN((G14)/365.25,0)))*12),0)," meses ",ROUNDUP((((((G14)/365.25)-(ROUNDDOWN((G14)/365.25,0)))*12)-(ROUNDDOWN(((((G14)/365.25)-(ROUNDDOWN((G14)/365.25,0)))*12),0)))*30.4375,0)," días.")," ")</f>
        <v xml:space="preserve"> </v>
      </c>
      <c r="K14" s="338"/>
      <c r="AA14" s="3">
        <f>+Datos!F19</f>
        <v>0</v>
      </c>
      <c r="AB14" s="3">
        <f>IF(AA14=2,+AB10*1.05,IF(AA14=3,+AB10*1.1,IF(AA14&gt;3,+AB10*1.15,AB10)))</f>
        <v>29914.57</v>
      </c>
    </row>
    <row r="15" spans="2:33" ht="12.75" x14ac:dyDescent="0.2">
      <c r="B15" s="3" t="s">
        <v>2</v>
      </c>
      <c r="C15" s="186" t="s">
        <v>32</v>
      </c>
      <c r="D15" s="186"/>
      <c r="E15" s="186"/>
      <c r="F15" s="186"/>
      <c r="G15" s="314">
        <f>IF(Datos!L13=Datos!AE69,+Datos!E15-Datos!E24,0)</f>
        <v>108</v>
      </c>
      <c r="H15" s="36" t="str">
        <f t="shared" si="7"/>
        <v>0 años 3 meses 17 días.</v>
      </c>
      <c r="AA15" s="3">
        <f>+Datos!E17</f>
        <v>0</v>
      </c>
      <c r="AB15" s="3">
        <f>IF(AA15="Mujer",AB14,AB10)</f>
        <v>29914.57</v>
      </c>
    </row>
    <row r="16" spans="2:33" ht="12.75" x14ac:dyDescent="0.2">
      <c r="C16" s="185" t="s">
        <v>206</v>
      </c>
      <c r="D16" s="185"/>
      <c r="E16" s="185"/>
      <c r="F16" s="185"/>
      <c r="G16" s="187">
        <f>+G15+G14</f>
        <v>108</v>
      </c>
      <c r="H16" s="36" t="str">
        <f>IF(G16&gt;0,CONCATENATE(ROUNDDOWN((G16)/365.25,0)," años ",ROUNDDOWN(((((G16)/365.25)-(ROUNDDOWN((G16)/365.25,0)))*12),0)," meses ",ROUNDUP((((((G16)/365.25)-(ROUNDDOWN((G16)/365.25,0)))*12)-(ROUNDDOWN(((((G16)/365.25)-(ROUNDDOWN((G16)/365.25,0)))*12),0)))*30.4375,0)," días.")," ")</f>
        <v>0 años 3 meses 17 días.</v>
      </c>
      <c r="AB16" s="336" t="e">
        <f>IF(OR(Datos!E9=Datos!AF65,Datos!E9=Datos!AF66,Datos!E9=Datos!AF67),#REF!,#REF!)</f>
        <v>#REF!</v>
      </c>
    </row>
    <row r="17" spans="2:11" ht="11.25" x14ac:dyDescent="0.2">
      <c r="K17" s="189"/>
    </row>
    <row r="18" spans="2:11" ht="18" x14ac:dyDescent="0.2">
      <c r="C18" s="85" t="s">
        <v>134</v>
      </c>
      <c r="D18" s="85"/>
      <c r="E18" s="85"/>
      <c r="F18" s="85"/>
      <c r="G18" s="86" t="s">
        <v>8</v>
      </c>
      <c r="H18" s="86" t="s">
        <v>161</v>
      </c>
      <c r="K18" s="189"/>
    </row>
    <row r="19" spans="2:11" ht="13.5" customHeight="1" x14ac:dyDescent="0.2">
      <c r="B19" s="3" t="s">
        <v>1</v>
      </c>
      <c r="C19" s="203" t="s">
        <v>93</v>
      </c>
      <c r="D19" s="203"/>
      <c r="E19" s="203"/>
      <c r="F19" s="203"/>
      <c r="G19" s="314">
        <f>+Datos!J45</f>
        <v>0</v>
      </c>
      <c r="H19" s="36" t="str">
        <f t="shared" ref="H19:H23" si="8">IF(G19&gt;0,CONCATENATE(ROUNDDOWN((G19)/365.25,0)," años ",ROUNDDOWN(((((G19)/365.25)-(ROUNDDOWN((G19)/365.25,0)))*12),0)," meses ",ROUNDUP((((((G19)/365.25)-(ROUNDDOWN((G19)/365.25,0)))*12)-(ROUNDDOWN(((((G19)/365.25)-(ROUNDDOWN((G19)/365.25,0)))*12),0)))*30.4375,0)," días.")," ")</f>
        <v xml:space="preserve"> </v>
      </c>
    </row>
    <row r="20" spans="2:11" ht="15" customHeight="1" x14ac:dyDescent="0.2">
      <c r="B20" s="3" t="s">
        <v>2</v>
      </c>
      <c r="C20" s="35" t="s">
        <v>94</v>
      </c>
      <c r="D20" s="35"/>
      <c r="E20" s="35"/>
      <c r="F20" s="35"/>
      <c r="G20" s="314">
        <f>+Datos!J47</f>
        <v>0</v>
      </c>
      <c r="H20" s="36" t="str">
        <f t="shared" si="8"/>
        <v xml:space="preserve"> </v>
      </c>
      <c r="K20" s="189"/>
    </row>
    <row r="21" spans="2:11" ht="12.75" x14ac:dyDescent="0.2">
      <c r="B21" s="3" t="s">
        <v>61</v>
      </c>
      <c r="C21" s="34" t="s">
        <v>96</v>
      </c>
      <c r="D21" s="34"/>
      <c r="E21" s="34"/>
      <c r="F21" s="34"/>
      <c r="G21" s="314">
        <f>+Datos!J49</f>
        <v>1440</v>
      </c>
      <c r="H21" s="36" t="str">
        <f t="shared" si="8"/>
        <v>3 años 11 meses 10 días.</v>
      </c>
      <c r="K21" s="189"/>
    </row>
    <row r="22" spans="2:11" ht="12.75" x14ac:dyDescent="0.2">
      <c r="B22" s="3" t="s">
        <v>62</v>
      </c>
      <c r="C22" s="34" t="s">
        <v>92</v>
      </c>
      <c r="D22" s="34"/>
      <c r="E22" s="34"/>
      <c r="F22" s="34"/>
      <c r="G22" s="314">
        <f>+Datos!J51</f>
        <v>0</v>
      </c>
      <c r="H22" s="36" t="str">
        <f t="shared" si="8"/>
        <v xml:space="preserve"> </v>
      </c>
      <c r="K22" s="189"/>
    </row>
    <row r="23" spans="2:11" ht="12.75" x14ac:dyDescent="0.2">
      <c r="B23" s="3" t="s">
        <v>63</v>
      </c>
      <c r="C23" s="34" t="s">
        <v>95</v>
      </c>
      <c r="D23" s="34"/>
      <c r="E23" s="34"/>
      <c r="F23" s="34"/>
      <c r="G23" s="314">
        <f>+Datos!J53</f>
        <v>0</v>
      </c>
      <c r="H23" s="36" t="str">
        <f t="shared" si="8"/>
        <v xml:space="preserve"> </v>
      </c>
      <c r="K23" s="189"/>
    </row>
    <row r="24" spans="2:11" ht="12.75" x14ac:dyDescent="0.2">
      <c r="C24" s="106" t="s">
        <v>98</v>
      </c>
      <c r="D24" s="106"/>
      <c r="E24" s="106"/>
      <c r="F24" s="106"/>
      <c r="G24" s="38">
        <f>SUM(G19:G23)</f>
        <v>1440</v>
      </c>
      <c r="H24" s="36" t="str">
        <f>IF(G24&gt;0,CONCATENATE(ROUNDDOWN((G24)/365.25,0)," años ",ROUNDDOWN(((((G24)/365.25)-(ROUNDDOWN((G24)/365.25,0)))*12),0)," meses ",ROUNDUP((((((G24)/365.25)-(ROUNDDOWN((G24)/365.25,0)))*12)-(ROUNDDOWN(((((G24)/365.25)-(ROUNDDOWN((G24)/365.25,0)))*12),0)))*30.4375,0)," días.")," ")</f>
        <v>3 años 11 meses 10 días.</v>
      </c>
      <c r="K24" s="189"/>
    </row>
    <row r="25" spans="2:11" ht="11.25" x14ac:dyDescent="0.2">
      <c r="K25" s="189"/>
    </row>
    <row r="26" spans="2:11" ht="15.75" x14ac:dyDescent="0.2">
      <c r="C26" s="184" t="s">
        <v>201</v>
      </c>
      <c r="D26" s="184"/>
      <c r="E26" s="184"/>
      <c r="F26" s="184"/>
      <c r="G26" s="185" t="s">
        <v>8</v>
      </c>
      <c r="H26" s="185" t="s">
        <v>161</v>
      </c>
    </row>
    <row r="27" spans="2:11" ht="12.75" x14ac:dyDescent="0.2">
      <c r="B27" s="3" t="s">
        <v>1</v>
      </c>
      <c r="C27" s="186" t="s">
        <v>33</v>
      </c>
      <c r="D27" s="186"/>
      <c r="E27" s="186"/>
      <c r="F27" s="186"/>
      <c r="G27" s="314">
        <f>IF(Datos!L13='Tiempos de cotización'!B27,Datos!AH61,0)</f>
        <v>0</v>
      </c>
      <c r="H27" s="36" t="str">
        <f t="shared" ref="H27:H28" si="9">IF(G27&gt;0,CONCATENATE(ROUNDDOWN((G27)/365.25,0)," años ",ROUNDDOWN(((((G27)/365.25)-(ROUNDDOWN((G27)/365.25,0)))*12),0)," meses ",ROUNDUP((((((G27)/365.25)-(ROUNDDOWN((G27)/365.25,0)))*12)-(ROUNDDOWN(((((G27)/365.25)-(ROUNDDOWN((G27)/365.25,0)))*12),0)))*30.4375,0)," días.")," ")</f>
        <v xml:space="preserve"> </v>
      </c>
    </row>
    <row r="28" spans="2:11" ht="12.75" x14ac:dyDescent="0.2">
      <c r="B28" s="3" t="s">
        <v>2</v>
      </c>
      <c r="C28" s="186" t="s">
        <v>32</v>
      </c>
      <c r="D28" s="186"/>
      <c r="E28" s="186"/>
      <c r="F28" s="186"/>
      <c r="G28" s="314">
        <f>IF(Datos!L13='Tiempos de cotización'!B28,Datos!AH61,0)</f>
        <v>0</v>
      </c>
      <c r="H28" s="36" t="str">
        <f t="shared" si="9"/>
        <v xml:space="preserve"> </v>
      </c>
    </row>
    <row r="29" spans="2:11" ht="12.75" x14ac:dyDescent="0.2">
      <c r="C29" s="185" t="s">
        <v>207</v>
      </c>
      <c r="D29" s="185"/>
      <c r="E29" s="185"/>
      <c r="F29" s="185"/>
      <c r="G29" s="187">
        <f>SUM(G27:G28)</f>
        <v>0</v>
      </c>
      <c r="H29" s="36" t="str">
        <f>IF(G29&gt;0,CONCATENATE(ROUNDDOWN((G29)/365.25,0)," años ",ROUNDDOWN(((((G29)/365.25)-(ROUNDDOWN((G29)/365.25,0)))*12),0)," meses ",ROUNDUP((((((G29)/365.25)-(ROUNDDOWN((G29)/365.25,0)))*12)-(ROUNDDOWN(((((G29)/365.25)-(ROUNDDOWN((G29)/365.25,0)))*12),0)))*30.4375,0)," días.")," ")</f>
        <v xml:space="preserve"> </v>
      </c>
    </row>
    <row r="30" spans="2:11" ht="11.25" x14ac:dyDescent="0.2"/>
    <row r="31" spans="2:11" ht="11.25" x14ac:dyDescent="0.2">
      <c r="K31" s="182"/>
    </row>
    <row r="32" spans="2:11" ht="18" x14ac:dyDescent="0.2">
      <c r="C32" s="184" t="s">
        <v>208</v>
      </c>
      <c r="D32" s="201"/>
      <c r="E32" s="201"/>
      <c r="F32" s="201"/>
      <c r="G32" s="185" t="s">
        <v>8</v>
      </c>
      <c r="H32" s="185" t="s">
        <v>161</v>
      </c>
    </row>
    <row r="33" spans="2:8" ht="15.75" customHeight="1" x14ac:dyDescent="0.2">
      <c r="B33" s="3" t="s">
        <v>1</v>
      </c>
      <c r="C33" s="202" t="s">
        <v>93</v>
      </c>
      <c r="D33" s="202"/>
      <c r="E33" s="202"/>
      <c r="F33" s="202"/>
      <c r="G33" s="314">
        <f>IF(Datos!L13='Tiempos de cotización'!B33,(Datos!X9)+(Datos!X11),0)</f>
        <v>0</v>
      </c>
      <c r="H33" s="36" t="str">
        <f t="shared" ref="H33:H37" si="10">IF(G33&gt;0,CONCATENATE(ROUNDDOWN((G33)/365.25,0)," años ",ROUNDDOWN(((((G33)/365.25)-(ROUNDDOWN((G33)/365.25,0)))*12),0)," meses ",ROUNDUP((((((G33)/365.25)-(ROUNDDOWN((G33)/365.25,0)))*12)-(ROUNDDOWN(((((G33)/365.25)-(ROUNDDOWN((G33)/365.25,0)))*12),0)))*30.4375,0)," días.")," ")</f>
        <v xml:space="preserve"> </v>
      </c>
    </row>
    <row r="34" spans="2:8" ht="12.75" customHeight="1" x14ac:dyDescent="0.2">
      <c r="B34" s="3" t="s">
        <v>2</v>
      </c>
      <c r="C34" s="202" t="s">
        <v>94</v>
      </c>
      <c r="D34" s="202"/>
      <c r="E34" s="202"/>
      <c r="F34" s="202"/>
      <c r="G34" s="314">
        <f>IF(Datos!L13='Tiempos de cotización'!B34,(Datos!X9)+(Datos!X11),0)</f>
        <v>0</v>
      </c>
      <c r="H34" s="36" t="str">
        <f t="shared" si="10"/>
        <v xml:space="preserve"> </v>
      </c>
    </row>
    <row r="35" spans="2:8" ht="12.75" hidden="1" x14ac:dyDescent="0.2">
      <c r="B35" s="3" t="s">
        <v>61</v>
      </c>
      <c r="C35" s="202" t="s">
        <v>96</v>
      </c>
      <c r="D35" s="202"/>
      <c r="E35" s="202"/>
      <c r="F35" s="202"/>
      <c r="G35" s="315">
        <f>+Datos!AG44</f>
        <v>0</v>
      </c>
      <c r="H35" s="36" t="str">
        <f t="shared" si="10"/>
        <v xml:space="preserve"> </v>
      </c>
    </row>
    <row r="36" spans="2:8" ht="12.75" hidden="1" x14ac:dyDescent="0.2">
      <c r="B36" s="3" t="s">
        <v>62</v>
      </c>
      <c r="C36" s="202" t="s">
        <v>92</v>
      </c>
      <c r="D36" s="202"/>
      <c r="E36" s="202"/>
      <c r="F36" s="202"/>
      <c r="G36" s="315">
        <f>+Datos!AG45</f>
        <v>0</v>
      </c>
      <c r="H36" s="36" t="str">
        <f t="shared" si="10"/>
        <v xml:space="preserve"> </v>
      </c>
    </row>
    <row r="37" spans="2:8" ht="15" customHeight="1" x14ac:dyDescent="0.2">
      <c r="B37" s="3" t="s">
        <v>63</v>
      </c>
      <c r="C37" s="202" t="s">
        <v>95</v>
      </c>
      <c r="D37" s="202"/>
      <c r="E37" s="202"/>
      <c r="F37" s="202"/>
      <c r="G37" s="314">
        <f>+Datos!X13</f>
        <v>0</v>
      </c>
      <c r="H37" s="36" t="str">
        <f t="shared" si="10"/>
        <v xml:space="preserve"> </v>
      </c>
    </row>
    <row r="38" spans="2:8" ht="12.75" x14ac:dyDescent="0.2">
      <c r="C38" s="185" t="s">
        <v>209</v>
      </c>
      <c r="D38" s="185"/>
      <c r="E38" s="185"/>
      <c r="F38" s="185"/>
      <c r="G38" s="187">
        <f>SUM(G33:G37)</f>
        <v>0</v>
      </c>
      <c r="H38" s="36" t="str">
        <f>IF(G38&gt;0,CONCATENATE(ROUNDDOWN((G38)/365.25,0)," años ",ROUNDDOWN(((((G38)/365.25)-(ROUNDDOWN((G38)/365.25,0)))*12),0)," meses ",ROUNDUP((((((G38)/365.25)-(ROUNDDOWN((G38)/365.25,0)))*12)-(ROUNDDOWN(((((G38)/365.25)-(ROUNDDOWN((G38)/365.25,0)))*12),0)))*30.4375,0)," días.")," ")</f>
        <v xml:space="preserve"> </v>
      </c>
    </row>
    <row r="39" spans="2:8" ht="11.25" x14ac:dyDescent="0.2"/>
    <row r="40" spans="2:8" ht="12.75" x14ac:dyDescent="0.2">
      <c r="G40" s="86" t="s">
        <v>8</v>
      </c>
      <c r="H40" s="86" t="s">
        <v>161</v>
      </c>
    </row>
    <row r="41" spans="2:8" ht="15.75" x14ac:dyDescent="0.2">
      <c r="C41" s="39" t="s">
        <v>210</v>
      </c>
      <c r="D41" s="39"/>
      <c r="E41" s="39"/>
      <c r="F41" s="39"/>
      <c r="G41" s="40">
        <f>+G24+G11+G16+G29+G38</f>
        <v>12114</v>
      </c>
      <c r="H41" s="36" t="str">
        <f>IF(G41&gt;0,CONCATENATE(ROUNDDOWN((G41)/365.25,0)," años ",ROUNDDOWN(((((G41)/365.25)-(ROUNDDOWN((G41)/365.25,0)))*12),0)," meses ",ROUNDUP((((((G41)/365.25)-(ROUNDDOWN((G41)/365.25,0)))*12)-(ROUNDDOWN(((((G41)/365.25)-(ROUNDDOWN((G41)/365.25,0)))*12),0)))*30.4375,0)," días.")," ")</f>
        <v>33 años 1 meses 31 días.</v>
      </c>
    </row>
    <row r="42" spans="2:8" ht="11.25" hidden="1" x14ac:dyDescent="0.2"/>
    <row r="43" spans="2:8" ht="15" hidden="1" x14ac:dyDescent="0.2">
      <c r="C43" s="90" t="str">
        <f>CONCATENATE(M6,":    ",N6)</f>
        <v>Nuevo trienio:    1 años 11 meses 5 días.</v>
      </c>
      <c r="D43" s="90"/>
      <c r="E43" s="90"/>
      <c r="F43" s="90"/>
    </row>
    <row r="44" spans="2:8" ht="11.25" hidden="1" x14ac:dyDescent="0.2"/>
    <row r="45" spans="2:8" ht="15" hidden="1" x14ac:dyDescent="0.2">
      <c r="C45" s="90" t="str">
        <f>CONCATENATE(O14,":    ",O15)</f>
        <v xml:space="preserve">:    </v>
      </c>
      <c r="D45" s="90"/>
      <c r="E45" s="90"/>
      <c r="F45" s="90"/>
    </row>
    <row r="46" spans="2:8" ht="11.25" hidden="1" x14ac:dyDescent="0.2"/>
    <row r="47" spans="2:8" ht="15.75" hidden="1" x14ac:dyDescent="0.25">
      <c r="C47" s="179" t="e">
        <f>IF(M8=0,CONCATENATE(M20,":    ",#REF!),CONCATENATE(M21,":    ",#REF!))</f>
        <v>#REF!</v>
      </c>
      <c r="D47" s="179"/>
      <c r="E47" s="179"/>
      <c r="F47" s="179"/>
    </row>
    <row r="48" spans="2:8" ht="11.25" hidden="1" x14ac:dyDescent="0.2">
      <c r="C48" s="89" t="s">
        <v>200</v>
      </c>
      <c r="D48" s="89"/>
      <c r="E48" s="89"/>
      <c r="F48" s="89"/>
    </row>
    <row r="49" spans="3:8" ht="11.25" hidden="1" x14ac:dyDescent="0.2"/>
    <row r="50" spans="3:8" ht="11.25" hidden="1" x14ac:dyDescent="0.2"/>
    <row r="51" spans="3:8" ht="11.25" hidden="1" x14ac:dyDescent="0.2">
      <c r="C51" s="318" t="s">
        <v>238</v>
      </c>
      <c r="G51" s="178">
        <f>+G16+G29+G38</f>
        <v>108</v>
      </c>
      <c r="H51" s="36" t="str">
        <f>IF(G51&gt;0,CONCATENATE(ROUNDDOWN((G51)/365.25,0)," años ",ROUNDDOWN(((((G51)/365.25)-(ROUNDDOWN((G51)/365.25,0)))*12),0)," meses ",ROUNDUP((((((G51)/365.25)-(ROUNDDOWN((G51)/365.25,0)))*12)-(ROUNDDOWN(((((G51)/365.25)-(ROUNDDOWN((G51)/365.25,0)))*12),0)))*30.4375,0)," días.")," ")</f>
        <v>0 años 3 meses 17 días.</v>
      </c>
    </row>
    <row r="52" spans="3:8" ht="11.25" hidden="1" x14ac:dyDescent="0.2"/>
    <row r="53" spans="3:8" ht="11.25" hidden="1" x14ac:dyDescent="0.2"/>
    <row r="54" spans="3:8" ht="11.25" hidden="1" x14ac:dyDescent="0.2">
      <c r="C54" s="318" t="s">
        <v>239</v>
      </c>
      <c r="G54" s="178">
        <f>+G11+G16</f>
        <v>10674</v>
      </c>
      <c r="H54" s="36" t="str">
        <f>IF(G54&gt;0,CONCATENATE(ROUNDDOWN((G54)/365.25,0)," años ",ROUNDDOWN(((((G54)/365.25)-(ROUNDDOWN((G54)/365.25,0)))*12),0)," meses ",ROUNDUP((((((G54)/365.25)-(ROUNDDOWN((G54)/365.25,0)))*12)-(ROUNDDOWN(((((G54)/365.25)-(ROUNDDOWN((G54)/365.25,0)))*12),0)))*30.4375,0)," días.")," ")</f>
        <v>29 años 2 meses 21 días.</v>
      </c>
    </row>
    <row r="55" spans="3:8" ht="11.25" hidden="1" x14ac:dyDescent="0.2"/>
    <row r="56" spans="3:8" ht="11.25" x14ac:dyDescent="0.2"/>
    <row r="57" spans="3:8" ht="11.25" x14ac:dyDescent="0.2"/>
    <row r="58" spans="3:8" ht="11.25" x14ac:dyDescent="0.2"/>
    <row r="59" spans="3:8" ht="11.25" x14ac:dyDescent="0.2"/>
    <row r="60" spans="3:8" ht="11.25" x14ac:dyDescent="0.2"/>
    <row r="61" spans="3:8" ht="11.25" x14ac:dyDescent="0.2"/>
    <row r="62" spans="3:8" ht="11.25" x14ac:dyDescent="0.2"/>
    <row r="63" spans="3:8" ht="11.25" x14ac:dyDescent="0.2"/>
    <row r="64" spans="3:8" ht="11.25" x14ac:dyDescent="0.2"/>
    <row r="65" ht="11.25" x14ac:dyDescent="0.2"/>
  </sheetData>
  <sheetProtection algorithmName="SHA-512" hashValue="mjj4Xx5RQI+rWxzlAb58a9fV9Oxm1E7W3Jm6lAjo1tPiXm92gQb5nMMhNkxDWjTLgxJYl9LBoYjioFmFXuxovQ==" saltValue="jD5BDdk0Z20upAYzhbJ5tQ==" spinCount="100000" sheet="1" objects="1" scenarios="1" selectLockedCells="1"/>
  <mergeCells count="4">
    <mergeCell ref="C1:H1"/>
    <mergeCell ref="C2:H2"/>
    <mergeCell ref="C3:H3"/>
    <mergeCell ref="K1:L2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105</v>
      </c>
      <c r="B6" s="84">
        <f>(+Datos!E15-Datos!E13)/365.25</f>
        <v>60.722792607802873</v>
      </c>
      <c r="C6" s="50">
        <f>IF(AND(B6&gt;65,B6&lt;75),918,IF(B6&gt;75,918+2040,0))</f>
        <v>0</v>
      </c>
      <c r="D6" s="16"/>
      <c r="E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51" t="str">
        <f>+Datos!Y24</f>
        <v>NO</v>
      </c>
      <c r="C7" s="50">
        <f>IF(B7="si",3246,0)</f>
        <v>0</v>
      </c>
      <c r="D7" s="16"/>
      <c r="E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51" t="str">
        <f>+Datos!Y26</f>
        <v>NO</v>
      </c>
      <c r="C8" s="50">
        <f>IF(B8="si",7242,0)</f>
        <v>0</v>
      </c>
      <c r="D8" s="16"/>
      <c r="E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I10" s="6"/>
      <c r="J10" s="1">
        <v>7</v>
      </c>
      <c r="K10" s="6"/>
      <c r="L10" s="6"/>
      <c r="M10" s="6"/>
      <c r="N10" s="11"/>
    </row>
    <row r="11" spans="1:14" hidden="1" x14ac:dyDescent="0.2">
      <c r="A11" s="49" t="s">
        <v>38</v>
      </c>
      <c r="B11" s="51" t="str">
        <f>+Datos!Y30</f>
        <v>NO</v>
      </c>
      <c r="C11" s="16"/>
      <c r="D11" s="16"/>
      <c r="E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13"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I12" s="6"/>
      <c r="K12" s="6"/>
      <c r="L12" s="6"/>
    </row>
    <row r="13" spans="1:14" hidden="1" x14ac:dyDescent="0.2">
      <c r="A13" s="49" t="s">
        <v>40</v>
      </c>
      <c r="B13" s="13">
        <f>+Datos!Y34</f>
        <v>0</v>
      </c>
      <c r="C13" s="50">
        <f>IF(B11="NO",+B13*2800/2,+B13*2800)</f>
        <v>0</v>
      </c>
      <c r="D13" s="16"/>
      <c r="E13" s="52"/>
      <c r="I13" s="6"/>
      <c r="K13" s="6"/>
      <c r="L13" s="6"/>
    </row>
    <row r="14" spans="1:14" hidden="1" x14ac:dyDescent="0.2">
      <c r="A14" s="56" t="s">
        <v>41</v>
      </c>
      <c r="B14" s="13">
        <f>+Datos!Y36</f>
        <v>0</v>
      </c>
      <c r="C14" s="50">
        <f>IF(B11="NO",(B14*2316*1.29)/2,(B14*2316*1.29))</f>
        <v>0</v>
      </c>
      <c r="D14" s="16"/>
      <c r="E14" s="52"/>
      <c r="I14" s="6"/>
      <c r="K14" s="6"/>
      <c r="L14" s="6"/>
    </row>
    <row r="15" spans="1:14" hidden="1" x14ac:dyDescent="0.2">
      <c r="A15" s="56" t="s">
        <v>42</v>
      </c>
      <c r="B15" s="13">
        <f>+Datos!Y38</f>
        <v>0</v>
      </c>
      <c r="C15" s="50">
        <f>IF(B11="NO",(B15*7038*1.29)/2,(B15*7038*1.29))</f>
        <v>0</v>
      </c>
      <c r="D15" s="16"/>
      <c r="E15" s="5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I17" s="6"/>
      <c r="K17" s="6"/>
      <c r="L17" s="6"/>
    </row>
    <row r="18" spans="1:12" hidden="1" x14ac:dyDescent="0.2">
      <c r="A18" s="8" t="s">
        <v>67</v>
      </c>
      <c r="B18" s="13">
        <f>+Datos!Y43</f>
        <v>1</v>
      </c>
      <c r="C18" s="17"/>
      <c r="D18" s="16"/>
      <c r="E18" s="52"/>
      <c r="I18" s="6"/>
      <c r="K18" s="6"/>
      <c r="L18" s="6"/>
    </row>
    <row r="19" spans="1:12" hidden="1" x14ac:dyDescent="0.2">
      <c r="A19" s="49" t="s">
        <v>43</v>
      </c>
      <c r="B19" s="13">
        <f>+Datos!Y45</f>
        <v>0</v>
      </c>
      <c r="C19" s="499">
        <f>((+B19*1150)+(B20*(1150+1400)))/B18</f>
        <v>0</v>
      </c>
      <c r="D19" s="16"/>
      <c r="E19" s="52"/>
      <c r="I19" s="6"/>
      <c r="K19" s="6"/>
      <c r="L19" s="6"/>
    </row>
    <row r="20" spans="1:12" hidden="1" x14ac:dyDescent="0.2">
      <c r="A20" s="49" t="s">
        <v>44</v>
      </c>
      <c r="B20" s="13">
        <f>+Datos!Y47</f>
        <v>0</v>
      </c>
      <c r="C20" s="499"/>
      <c r="D20" s="16"/>
      <c r="E20" s="52"/>
      <c r="I20" s="6"/>
      <c r="K20" s="6"/>
      <c r="L20" s="6"/>
    </row>
    <row r="21" spans="1:12" hidden="1" x14ac:dyDescent="0.2">
      <c r="A21" s="56" t="s">
        <v>45</v>
      </c>
      <c r="B21" s="13">
        <f>+Datos!Y49</f>
        <v>0</v>
      </c>
      <c r="C21" s="18">
        <f>(B21*3000)/B18</f>
        <v>0</v>
      </c>
      <c r="D21" s="16"/>
      <c r="E21" s="52"/>
      <c r="I21" s="6"/>
      <c r="K21" s="6"/>
      <c r="L21" s="6"/>
    </row>
    <row r="22" spans="1:12" hidden="1" x14ac:dyDescent="0.2">
      <c r="A22" s="56" t="s">
        <v>46</v>
      </c>
      <c r="B22" s="13">
        <f>+Datos!Y51</f>
        <v>0</v>
      </c>
      <c r="C22" s="18">
        <f>+(B22*9000)/B18</f>
        <v>0</v>
      </c>
      <c r="D22" s="16"/>
      <c r="E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+Retribuciones!AI13</f>
        <v>37639.825362999996</v>
      </c>
      <c r="C25" s="16"/>
      <c r="D25" s="16"/>
      <c r="E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</row>
    <row r="27" spans="1:12" hidden="1" x14ac:dyDescent="0.2">
      <c r="A27" s="500" t="s">
        <v>55</v>
      </c>
      <c r="B27" s="500"/>
      <c r="C27" s="16"/>
      <c r="D27" s="16"/>
      <c r="E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</row>
    <row r="29" spans="1:12" hidden="1" x14ac:dyDescent="0.2">
      <c r="A29" s="48" t="s">
        <v>103</v>
      </c>
      <c r="B29" s="19">
        <f>-[1]Nómina!D51</f>
        <v>2481.698425</v>
      </c>
      <c r="C29" s="16"/>
      <c r="D29" s="16"/>
      <c r="E29" s="52"/>
    </row>
    <row r="30" spans="1:12" hidden="1" x14ac:dyDescent="0.2">
      <c r="A30" s="49" t="s">
        <v>47</v>
      </c>
      <c r="B30" s="18"/>
      <c r="C30" s="16"/>
      <c r="D30" s="16"/>
      <c r="E30" s="52"/>
    </row>
    <row r="31" spans="1:12" hidden="1" x14ac:dyDescent="0.2">
      <c r="A31" s="49" t="s">
        <v>37</v>
      </c>
      <c r="B31" s="18"/>
      <c r="C31" s="16"/>
      <c r="D31" s="16"/>
      <c r="E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</row>
    <row r="33" spans="1:5" hidden="1" x14ac:dyDescent="0.2">
      <c r="A33" s="48"/>
      <c r="B33" s="19"/>
      <c r="C33" s="16"/>
      <c r="D33" s="16"/>
      <c r="E33" s="52"/>
    </row>
    <row r="34" spans="1:5" hidden="1" x14ac:dyDescent="0.2">
      <c r="A34" s="12" t="s">
        <v>54</v>
      </c>
      <c r="B34" s="19">
        <f>+B25-B29-B28-B30-B31-B32-B33</f>
        <v>33158.126937999994</v>
      </c>
      <c r="C34" s="5">
        <f>SUM(C5:C33)</f>
        <v>5550</v>
      </c>
      <c r="D34" s="16"/>
      <c r="E34" s="52"/>
    </row>
    <row r="35" spans="1:5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8112.9380813999978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</row>
    <row r="36" spans="1:5" hidden="1" x14ac:dyDescent="0.2">
      <c r="A36" s="12" t="s">
        <v>57</v>
      </c>
      <c r="B36" s="19">
        <f>+B35-C35</f>
        <v>7058.4380813999978</v>
      </c>
      <c r="C36" s="16"/>
      <c r="D36" s="16"/>
      <c r="E36" s="52"/>
    </row>
    <row r="37" spans="1:5" hidden="1" x14ac:dyDescent="0.2">
      <c r="A37" s="12" t="s">
        <v>58</v>
      </c>
      <c r="B37" s="75">
        <f>+B36/B25</f>
        <v>0.1875257925170517</v>
      </c>
      <c r="C37" s="16"/>
      <c r="D37" s="16"/>
      <c r="E37" s="52"/>
    </row>
    <row r="38" spans="1:5" hidden="1" x14ac:dyDescent="0.2">
      <c r="A38" s="16"/>
      <c r="B38" s="16"/>
      <c r="C38" s="16"/>
      <c r="D38" s="16"/>
      <c r="E38" s="52"/>
    </row>
    <row r="39" spans="1:5" hidden="1" x14ac:dyDescent="0.2">
      <c r="E39" s="52"/>
    </row>
    <row r="40" spans="1:5" hidden="1" x14ac:dyDescent="0.2">
      <c r="E40" s="77"/>
    </row>
  </sheetData>
  <sheetProtection password="DF4C" sheet="1" objects="1" scenarios="1" selectLockedCells="1"/>
  <mergeCells count="8">
    <mergeCell ref="C19:C20"/>
    <mergeCell ref="A24:B24"/>
    <mergeCell ref="A27:B27"/>
    <mergeCell ref="A4:B4"/>
    <mergeCell ref="A1:C1"/>
    <mergeCell ref="A2:C2"/>
    <mergeCell ref="A10:B10"/>
    <mergeCell ref="A17:B1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M66"/>
  <sheetViews>
    <sheetView workbookViewId="0">
      <selection activeCell="Z11" sqref="Z11"/>
    </sheetView>
    <sheetView workbookViewId="1"/>
  </sheetViews>
  <sheetFormatPr baseColWidth="10" defaultRowHeight="12.75" x14ac:dyDescent="0.2"/>
  <cols>
    <col min="1" max="1" width="4.140625" style="1" customWidth="1"/>
    <col min="2" max="2" width="7.85546875" style="1" bestFit="1" customWidth="1"/>
    <col min="3" max="3" width="11.85546875" style="1" customWidth="1"/>
    <col min="4" max="4" width="1.7109375" style="1" customWidth="1"/>
    <col min="5" max="5" width="9.7109375" style="1" customWidth="1"/>
    <col min="6" max="6" width="8.140625" style="1" bestFit="1" customWidth="1"/>
    <col min="7" max="7" width="1.7109375" style="1" customWidth="1"/>
    <col min="8" max="9" width="9.140625" style="1" bestFit="1" customWidth="1"/>
    <col min="10" max="10" width="1.7109375" style="1" customWidth="1"/>
    <col min="11" max="11" width="9.140625" style="1" bestFit="1" customWidth="1"/>
    <col min="12" max="12" width="8" style="1" bestFit="1" customWidth="1"/>
    <col min="13" max="13" width="1.7109375" style="1" customWidth="1"/>
    <col min="14" max="14" width="9.140625" style="1" bestFit="1" customWidth="1"/>
    <col min="15" max="15" width="8" style="1" bestFit="1" customWidth="1"/>
    <col min="16" max="16" width="1.7109375" style="1" customWidth="1"/>
    <col min="17" max="17" width="9.140625" style="1" bestFit="1" customWidth="1"/>
    <col min="18" max="18" width="8" style="1" bestFit="1" customWidth="1"/>
    <col min="19" max="19" width="1.7109375" style="1" customWidth="1"/>
    <col min="20" max="20" width="9.140625" style="1" bestFit="1" customWidth="1"/>
    <col min="21" max="21" width="8" style="1" bestFit="1" customWidth="1"/>
    <col min="22" max="22" width="3.85546875" style="1" customWidth="1"/>
    <col min="23" max="45" width="11.42578125" style="1" customWidth="1"/>
    <col min="46" max="46" width="2" style="1" customWidth="1"/>
    <col min="47" max="59" width="11.42578125" style="1" customWidth="1"/>
    <col min="60" max="16384" width="11.42578125" style="1"/>
  </cols>
  <sheetData>
    <row r="1" spans="1:39" ht="18" x14ac:dyDescent="0.2">
      <c r="A1" s="16"/>
      <c r="B1" s="504" t="s">
        <v>331</v>
      </c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x14ac:dyDescent="0.2">
      <c r="A4" s="16"/>
      <c r="B4" s="506" t="s">
        <v>70</v>
      </c>
      <c r="C4" s="506"/>
      <c r="D4" s="16"/>
      <c r="E4" s="510" t="s">
        <v>1</v>
      </c>
      <c r="F4" s="510"/>
      <c r="G4" s="16"/>
      <c r="H4" s="511" t="s">
        <v>2</v>
      </c>
      <c r="I4" s="511"/>
      <c r="J4" s="16"/>
      <c r="K4" s="512" t="s">
        <v>60</v>
      </c>
      <c r="L4" s="512"/>
      <c r="M4" s="16"/>
      <c r="N4" s="507" t="s">
        <v>61</v>
      </c>
      <c r="O4" s="507"/>
      <c r="P4" s="16"/>
      <c r="Q4" s="508" t="s">
        <v>62</v>
      </c>
      <c r="R4" s="508"/>
      <c r="S4" s="16"/>
      <c r="T4" s="509" t="s">
        <v>63</v>
      </c>
      <c r="U4" s="509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9" x14ac:dyDescent="0.2">
      <c r="A5" s="16"/>
      <c r="B5" s="505" t="s">
        <v>3</v>
      </c>
      <c r="C5" s="505"/>
      <c r="D5" s="16"/>
      <c r="E5" s="378">
        <v>42563.68</v>
      </c>
      <c r="F5" s="379"/>
      <c r="G5" s="16"/>
      <c r="H5" s="380">
        <v>33498.68</v>
      </c>
      <c r="I5" s="381"/>
      <c r="J5" s="16"/>
      <c r="K5" s="382">
        <v>29333.53</v>
      </c>
      <c r="L5" s="383"/>
      <c r="M5" s="16"/>
      <c r="N5" s="384">
        <v>25727.56</v>
      </c>
      <c r="O5" s="385"/>
      <c r="P5" s="16"/>
      <c r="Q5" s="386">
        <v>20354.759999999998</v>
      </c>
      <c r="R5" s="387"/>
      <c r="S5" s="16"/>
      <c r="T5" s="388">
        <v>17354.060000000001</v>
      </c>
      <c r="U5" s="389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9" ht="25.5" x14ac:dyDescent="0.2">
      <c r="A6" s="16"/>
      <c r="B6" s="377" t="s">
        <v>0</v>
      </c>
      <c r="C6" s="390" t="s">
        <v>71</v>
      </c>
      <c r="D6" s="16"/>
      <c r="E6" s="97" t="s">
        <v>4</v>
      </c>
      <c r="F6" s="97" t="s">
        <v>5</v>
      </c>
      <c r="G6" s="16"/>
      <c r="H6" s="98" t="s">
        <v>4</v>
      </c>
      <c r="I6" s="98" t="s">
        <v>5</v>
      </c>
      <c r="J6" s="16"/>
      <c r="K6" s="99" t="s">
        <v>4</v>
      </c>
      <c r="L6" s="99" t="s">
        <v>5</v>
      </c>
      <c r="M6" s="16"/>
      <c r="N6" s="100" t="s">
        <v>4</v>
      </c>
      <c r="O6" s="100" t="s">
        <v>5</v>
      </c>
      <c r="P6" s="16"/>
      <c r="Q6" s="101" t="s">
        <v>4</v>
      </c>
      <c r="R6" s="101" t="s">
        <v>5</v>
      </c>
      <c r="S6" s="16"/>
      <c r="T6" s="102" t="s">
        <v>4</v>
      </c>
      <c r="U6" s="102" t="s">
        <v>5</v>
      </c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9" x14ac:dyDescent="0.2">
      <c r="A7" s="16"/>
      <c r="B7" s="341">
        <v>1</v>
      </c>
      <c r="C7" s="4">
        <v>1.24E-2</v>
      </c>
      <c r="D7" s="16"/>
      <c r="E7" s="26">
        <f>IF((ROUND(+E$5*C7,2))&gt;$I$43,$I$43,ROUND(+E$5*C7,2))</f>
        <v>527.79</v>
      </c>
      <c r="F7" s="26">
        <f t="shared" ref="F7:F20" si="0">ROUND(+E7/14,2)</f>
        <v>37.700000000000003</v>
      </c>
      <c r="G7" s="16"/>
      <c r="H7" s="27">
        <f t="shared" ref="H7:H41" si="1">IF((ROUND(+H$5*C7,2))&gt;$I$43,$I$43,ROUND(+H$5*C7,2))</f>
        <v>415.38</v>
      </c>
      <c r="I7" s="27">
        <f t="shared" ref="I7:I20" si="2">ROUND(+H7/14,2)</f>
        <v>29.67</v>
      </c>
      <c r="J7" s="16"/>
      <c r="K7" s="28">
        <f t="shared" ref="K7:K41" si="3">IF((ROUND(+K$5*C7,2))&gt;$I$43,$I$43,ROUND(+K$5*C7,2))</f>
        <v>363.74</v>
      </c>
      <c r="L7" s="28">
        <f>ROUND(+K7/14,2)</f>
        <v>25.98</v>
      </c>
      <c r="M7" s="16"/>
      <c r="N7" s="29">
        <f t="shared" ref="N7:N41" si="4">IF((ROUND(+N$5*C7,2))&gt;$I$43,$I$43,ROUND(+N$5*C7,2))</f>
        <v>319.02</v>
      </c>
      <c r="O7" s="29">
        <f>ROUND(+N7/14,2)</f>
        <v>22.79</v>
      </c>
      <c r="P7" s="16"/>
      <c r="Q7" s="30">
        <f t="shared" ref="Q7:Q41" si="5">IF((ROUND(+Q$5*C7,2))&gt;$I$43,$I$43,ROUND(+Q$5*C7,2))</f>
        <v>252.4</v>
      </c>
      <c r="R7" s="30">
        <f>ROUND(+Q7/14,2)</f>
        <v>18.03</v>
      </c>
      <c r="S7" s="16"/>
      <c r="T7" s="31">
        <f t="shared" ref="T7:T41" si="6">IF((ROUND(+T$5*C7,2))&gt;$I$43,$I$43,ROUND(+T$5*C7,2))</f>
        <v>215.19</v>
      </c>
      <c r="U7" s="31">
        <f>ROUND(+T7/14,2)</f>
        <v>15.37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9" x14ac:dyDescent="0.2">
      <c r="A8" s="16"/>
      <c r="B8" s="341">
        <v>2</v>
      </c>
      <c r="C8" s="4">
        <v>2.5499999999999998E-2</v>
      </c>
      <c r="D8" s="16"/>
      <c r="E8" s="26">
        <f t="shared" ref="E8:E41" si="7">IF((ROUND(+E$5*C8,2))&gt;I$43,I$43,ROUND(+E$5*C8,2))</f>
        <v>1085.3699999999999</v>
      </c>
      <c r="F8" s="26">
        <f t="shared" si="0"/>
        <v>77.53</v>
      </c>
      <c r="G8" s="16"/>
      <c r="H8" s="27">
        <f t="shared" si="1"/>
        <v>854.22</v>
      </c>
      <c r="I8" s="27">
        <f t="shared" si="2"/>
        <v>61.02</v>
      </c>
      <c r="J8" s="16"/>
      <c r="K8" s="28">
        <f t="shared" si="3"/>
        <v>748.01</v>
      </c>
      <c r="L8" s="28">
        <f t="shared" ref="L8:L41" si="8">ROUND(+K8/14,2)</f>
        <v>53.43</v>
      </c>
      <c r="M8" s="16"/>
      <c r="N8" s="29">
        <f t="shared" si="4"/>
        <v>656.05</v>
      </c>
      <c r="O8" s="29">
        <f t="shared" ref="O8:O41" si="9">ROUND(+N8/14,2)</f>
        <v>46.86</v>
      </c>
      <c r="P8" s="16"/>
      <c r="Q8" s="30">
        <f t="shared" si="5"/>
        <v>519.04999999999995</v>
      </c>
      <c r="R8" s="30">
        <f t="shared" ref="R8:R41" si="10">ROUND(+Q8/14,2)</f>
        <v>37.08</v>
      </c>
      <c r="S8" s="16"/>
      <c r="T8" s="31">
        <f t="shared" si="6"/>
        <v>442.53</v>
      </c>
      <c r="U8" s="31">
        <f t="shared" ref="U8:U41" si="11">ROUND(+T8/14,2)</f>
        <v>31.61</v>
      </c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9" x14ac:dyDescent="0.2">
      <c r="A9" s="16"/>
      <c r="B9" s="341">
        <v>3</v>
      </c>
      <c r="C9" s="4">
        <v>3.8800000000000001E-2</v>
      </c>
      <c r="D9" s="16"/>
      <c r="E9" s="26">
        <f t="shared" si="7"/>
        <v>1651.47</v>
      </c>
      <c r="F9" s="26">
        <f t="shared" si="0"/>
        <v>117.96</v>
      </c>
      <c r="G9" s="16"/>
      <c r="H9" s="27">
        <f t="shared" si="1"/>
        <v>1299.75</v>
      </c>
      <c r="I9" s="27">
        <f t="shared" si="2"/>
        <v>92.84</v>
      </c>
      <c r="J9" s="16"/>
      <c r="K9" s="28">
        <f t="shared" si="3"/>
        <v>1138.1400000000001</v>
      </c>
      <c r="L9" s="28">
        <f t="shared" si="8"/>
        <v>81.3</v>
      </c>
      <c r="M9" s="16"/>
      <c r="N9" s="29">
        <f t="shared" si="4"/>
        <v>998.23</v>
      </c>
      <c r="O9" s="29">
        <f t="shared" si="9"/>
        <v>71.3</v>
      </c>
      <c r="P9" s="16"/>
      <c r="Q9" s="30">
        <f t="shared" si="5"/>
        <v>789.76</v>
      </c>
      <c r="R9" s="30">
        <f t="shared" si="10"/>
        <v>56.41</v>
      </c>
      <c r="S9" s="16"/>
      <c r="T9" s="31">
        <f t="shared" si="6"/>
        <v>673.34</v>
      </c>
      <c r="U9" s="31">
        <f t="shared" si="11"/>
        <v>48.1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9" x14ac:dyDescent="0.2">
      <c r="A10" s="16"/>
      <c r="B10" s="341">
        <v>4</v>
      </c>
      <c r="C10" s="4">
        <v>5.3100000000000001E-2</v>
      </c>
      <c r="D10" s="16"/>
      <c r="E10" s="26">
        <f t="shared" si="7"/>
        <v>2260.13</v>
      </c>
      <c r="F10" s="26">
        <f t="shared" si="0"/>
        <v>161.44</v>
      </c>
      <c r="G10" s="16"/>
      <c r="H10" s="27">
        <f t="shared" si="1"/>
        <v>1778.78</v>
      </c>
      <c r="I10" s="27">
        <f t="shared" si="2"/>
        <v>127.06</v>
      </c>
      <c r="J10" s="16"/>
      <c r="K10" s="28">
        <f t="shared" si="3"/>
        <v>1557.61</v>
      </c>
      <c r="L10" s="28">
        <f t="shared" si="8"/>
        <v>111.26</v>
      </c>
      <c r="M10" s="16"/>
      <c r="N10" s="29">
        <f t="shared" si="4"/>
        <v>1366.13</v>
      </c>
      <c r="O10" s="29">
        <f t="shared" si="9"/>
        <v>97.58</v>
      </c>
      <c r="P10" s="16"/>
      <c r="Q10" s="30">
        <f t="shared" si="5"/>
        <v>1080.8399999999999</v>
      </c>
      <c r="R10" s="30">
        <f t="shared" si="10"/>
        <v>77.2</v>
      </c>
      <c r="S10" s="16"/>
      <c r="T10" s="31">
        <f t="shared" si="6"/>
        <v>921.5</v>
      </c>
      <c r="U10" s="31">
        <f t="shared" si="11"/>
        <v>65.819999999999993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9" x14ac:dyDescent="0.2">
      <c r="A11" s="16"/>
      <c r="B11" s="341">
        <v>5</v>
      </c>
      <c r="C11" s="4">
        <v>6.83E-2</v>
      </c>
      <c r="D11" s="16"/>
      <c r="E11" s="26">
        <f t="shared" si="7"/>
        <v>2907.1</v>
      </c>
      <c r="F11" s="26">
        <f t="shared" si="0"/>
        <v>207.65</v>
      </c>
      <c r="G11" s="16"/>
      <c r="H11" s="27">
        <f t="shared" si="1"/>
        <v>2287.96</v>
      </c>
      <c r="I11" s="27">
        <f t="shared" si="2"/>
        <v>163.43</v>
      </c>
      <c r="J11" s="16"/>
      <c r="K11" s="28">
        <f t="shared" si="3"/>
        <v>2003.48</v>
      </c>
      <c r="L11" s="28">
        <f t="shared" si="8"/>
        <v>143.11000000000001</v>
      </c>
      <c r="M11" s="16"/>
      <c r="N11" s="29">
        <f t="shared" si="4"/>
        <v>1757.19</v>
      </c>
      <c r="O11" s="29">
        <f t="shared" si="9"/>
        <v>125.51</v>
      </c>
      <c r="P11" s="16"/>
      <c r="Q11" s="30">
        <f t="shared" si="5"/>
        <v>1390.23</v>
      </c>
      <c r="R11" s="30">
        <f t="shared" si="10"/>
        <v>99.3</v>
      </c>
      <c r="S11" s="16"/>
      <c r="T11" s="31">
        <f t="shared" si="6"/>
        <v>1185.28</v>
      </c>
      <c r="U11" s="31">
        <f t="shared" si="11"/>
        <v>84.66</v>
      </c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9" x14ac:dyDescent="0.2">
      <c r="A12" s="16"/>
      <c r="B12" s="341">
        <v>6</v>
      </c>
      <c r="C12" s="4">
        <v>8.43E-2</v>
      </c>
      <c r="D12" s="16"/>
      <c r="E12" s="26">
        <f t="shared" si="7"/>
        <v>3588.12</v>
      </c>
      <c r="F12" s="26">
        <f t="shared" si="0"/>
        <v>256.29000000000002</v>
      </c>
      <c r="G12" s="16"/>
      <c r="H12" s="27">
        <f t="shared" si="1"/>
        <v>2823.94</v>
      </c>
      <c r="I12" s="27">
        <f t="shared" si="2"/>
        <v>201.71</v>
      </c>
      <c r="J12" s="16"/>
      <c r="K12" s="28">
        <f t="shared" si="3"/>
        <v>2472.8200000000002</v>
      </c>
      <c r="L12" s="28">
        <f t="shared" si="8"/>
        <v>176.63</v>
      </c>
      <c r="M12" s="16"/>
      <c r="N12" s="29">
        <f t="shared" si="4"/>
        <v>2168.83</v>
      </c>
      <c r="O12" s="29">
        <f t="shared" si="9"/>
        <v>154.91999999999999</v>
      </c>
      <c r="P12" s="16"/>
      <c r="Q12" s="30">
        <f t="shared" si="5"/>
        <v>1715.91</v>
      </c>
      <c r="R12" s="30">
        <f t="shared" si="10"/>
        <v>122.57</v>
      </c>
      <c r="S12" s="16"/>
      <c r="T12" s="31">
        <f t="shared" si="6"/>
        <v>1462.95</v>
      </c>
      <c r="U12" s="31">
        <f t="shared" si="11"/>
        <v>104.5</v>
      </c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9" x14ac:dyDescent="0.2">
      <c r="A13" s="16"/>
      <c r="B13" s="341">
        <v>7</v>
      </c>
      <c r="C13" s="4">
        <v>0.1011</v>
      </c>
      <c r="D13" s="16"/>
      <c r="E13" s="26">
        <f t="shared" si="7"/>
        <v>4303.1899999999996</v>
      </c>
      <c r="F13" s="26">
        <f t="shared" si="0"/>
        <v>307.37</v>
      </c>
      <c r="G13" s="16"/>
      <c r="H13" s="27">
        <f t="shared" si="1"/>
        <v>3386.72</v>
      </c>
      <c r="I13" s="27">
        <f t="shared" si="2"/>
        <v>241.91</v>
      </c>
      <c r="J13" s="16"/>
      <c r="K13" s="28">
        <f t="shared" si="3"/>
        <v>2965.62</v>
      </c>
      <c r="L13" s="28">
        <f t="shared" si="8"/>
        <v>211.83</v>
      </c>
      <c r="M13" s="16"/>
      <c r="N13" s="29">
        <f t="shared" si="4"/>
        <v>2601.06</v>
      </c>
      <c r="O13" s="29">
        <f t="shared" si="9"/>
        <v>185.79</v>
      </c>
      <c r="P13" s="16"/>
      <c r="Q13" s="30">
        <f t="shared" si="5"/>
        <v>2057.87</v>
      </c>
      <c r="R13" s="30">
        <f t="shared" si="10"/>
        <v>146.99</v>
      </c>
      <c r="S13" s="16"/>
      <c r="T13" s="31">
        <f t="shared" si="6"/>
        <v>1754.5</v>
      </c>
      <c r="U13" s="31">
        <f t="shared" si="11"/>
        <v>125.32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9" x14ac:dyDescent="0.2">
      <c r="A14" s="16"/>
      <c r="B14" s="341">
        <v>8</v>
      </c>
      <c r="C14" s="4">
        <v>0.1188</v>
      </c>
      <c r="D14" s="16"/>
      <c r="E14" s="26">
        <f t="shared" si="7"/>
        <v>5056.57</v>
      </c>
      <c r="F14" s="26">
        <f t="shared" si="0"/>
        <v>361.18</v>
      </c>
      <c r="G14" s="16"/>
      <c r="H14" s="27">
        <f t="shared" si="1"/>
        <v>3979.64</v>
      </c>
      <c r="I14" s="27">
        <f t="shared" si="2"/>
        <v>284.26</v>
      </c>
      <c r="J14" s="16"/>
      <c r="K14" s="28">
        <f t="shared" si="3"/>
        <v>3484.82</v>
      </c>
      <c r="L14" s="28">
        <f>ROUND(+K14/14,2)</f>
        <v>248.92</v>
      </c>
      <c r="M14" s="16"/>
      <c r="N14" s="29">
        <f t="shared" si="4"/>
        <v>3056.43</v>
      </c>
      <c r="O14" s="29">
        <f t="shared" si="9"/>
        <v>218.32</v>
      </c>
      <c r="P14" s="16"/>
      <c r="Q14" s="30">
        <f t="shared" si="5"/>
        <v>2418.15</v>
      </c>
      <c r="R14" s="30">
        <f t="shared" si="10"/>
        <v>172.73</v>
      </c>
      <c r="S14" s="16"/>
      <c r="T14" s="31">
        <f t="shared" si="6"/>
        <v>2061.66</v>
      </c>
      <c r="U14" s="31">
        <f t="shared" si="11"/>
        <v>147.26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9" x14ac:dyDescent="0.2">
      <c r="A15" s="16"/>
      <c r="B15" s="341">
        <v>9</v>
      </c>
      <c r="C15" s="4">
        <v>0.13730000000000001</v>
      </c>
      <c r="D15" s="16"/>
      <c r="E15" s="26">
        <f t="shared" si="7"/>
        <v>5843.99</v>
      </c>
      <c r="F15" s="26">
        <f t="shared" si="0"/>
        <v>417.43</v>
      </c>
      <c r="G15" s="16"/>
      <c r="H15" s="27">
        <f t="shared" si="1"/>
        <v>4599.37</v>
      </c>
      <c r="I15" s="27">
        <f t="shared" si="2"/>
        <v>328.53</v>
      </c>
      <c r="J15" s="16"/>
      <c r="K15" s="28">
        <f>IF((ROUND(+K$5*C15,2))&gt;$I$43,$I$43,ROUND(+K$5*C15,2))</f>
        <v>4027.49</v>
      </c>
      <c r="L15" s="28">
        <f t="shared" si="8"/>
        <v>287.68</v>
      </c>
      <c r="M15" s="16"/>
      <c r="N15" s="29">
        <f t="shared" si="4"/>
        <v>3532.39</v>
      </c>
      <c r="O15" s="29">
        <f t="shared" si="9"/>
        <v>252.31</v>
      </c>
      <c r="P15" s="16"/>
      <c r="Q15" s="30">
        <f t="shared" si="5"/>
        <v>2794.71</v>
      </c>
      <c r="R15" s="30">
        <f t="shared" si="10"/>
        <v>199.62</v>
      </c>
      <c r="S15" s="16"/>
      <c r="T15" s="31">
        <f t="shared" si="6"/>
        <v>2382.71</v>
      </c>
      <c r="U15" s="31">
        <f t="shared" si="11"/>
        <v>170.19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9" x14ac:dyDescent="0.2">
      <c r="A16" s="16"/>
      <c r="B16" s="341">
        <v>10</v>
      </c>
      <c r="C16" s="4">
        <v>0.15670000000000001</v>
      </c>
      <c r="D16" s="16"/>
      <c r="E16" s="26">
        <f t="shared" si="7"/>
        <v>6669.73</v>
      </c>
      <c r="F16" s="26">
        <f t="shared" si="0"/>
        <v>476.41</v>
      </c>
      <c r="G16" s="16"/>
      <c r="H16" s="27">
        <f t="shared" si="1"/>
        <v>5249.24</v>
      </c>
      <c r="I16" s="27">
        <f t="shared" si="2"/>
        <v>374.95</v>
      </c>
      <c r="J16" s="16"/>
      <c r="K16" s="28">
        <f t="shared" si="3"/>
        <v>4596.5600000000004</v>
      </c>
      <c r="L16" s="28">
        <f t="shared" si="8"/>
        <v>328.33</v>
      </c>
      <c r="M16" s="16"/>
      <c r="N16" s="29">
        <f t="shared" si="4"/>
        <v>4031.51</v>
      </c>
      <c r="O16" s="29">
        <f t="shared" si="9"/>
        <v>287.97000000000003</v>
      </c>
      <c r="P16" s="16"/>
      <c r="Q16" s="30">
        <f t="shared" si="5"/>
        <v>3189.59</v>
      </c>
      <c r="R16" s="30">
        <f t="shared" si="10"/>
        <v>227.83</v>
      </c>
      <c r="S16" s="16"/>
      <c r="T16" s="31">
        <f t="shared" si="6"/>
        <v>2719.38</v>
      </c>
      <c r="U16" s="31">
        <f t="shared" si="11"/>
        <v>194.24</v>
      </c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4" x14ac:dyDescent="0.2">
      <c r="A17" s="16"/>
      <c r="B17" s="341">
        <v>11</v>
      </c>
      <c r="C17" s="4">
        <v>0.17710000000000001</v>
      </c>
      <c r="D17" s="16"/>
      <c r="E17" s="26">
        <f t="shared" si="7"/>
        <v>7538.03</v>
      </c>
      <c r="F17" s="26">
        <f t="shared" si="0"/>
        <v>538.42999999999995</v>
      </c>
      <c r="G17" s="16"/>
      <c r="H17" s="27">
        <f t="shared" si="1"/>
        <v>5932.62</v>
      </c>
      <c r="I17" s="27">
        <f t="shared" si="2"/>
        <v>423.76</v>
      </c>
      <c r="J17" s="16"/>
      <c r="K17" s="28">
        <f t="shared" si="3"/>
        <v>5194.97</v>
      </c>
      <c r="L17" s="28">
        <f t="shared" si="8"/>
        <v>371.07</v>
      </c>
      <c r="M17" s="16"/>
      <c r="N17" s="29">
        <f t="shared" si="4"/>
        <v>4556.3500000000004</v>
      </c>
      <c r="O17" s="29">
        <f t="shared" si="9"/>
        <v>325.45</v>
      </c>
      <c r="P17" s="16"/>
      <c r="Q17" s="30">
        <f t="shared" si="5"/>
        <v>3604.83</v>
      </c>
      <c r="R17" s="30">
        <f t="shared" si="10"/>
        <v>257.49</v>
      </c>
      <c r="S17" s="16"/>
      <c r="T17" s="31">
        <f t="shared" si="6"/>
        <v>3073.4</v>
      </c>
      <c r="U17" s="31">
        <f t="shared" si="11"/>
        <v>219.53</v>
      </c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4" x14ac:dyDescent="0.2">
      <c r="A18" s="16"/>
      <c r="B18" s="341">
        <v>12</v>
      </c>
      <c r="C18" s="4">
        <v>0.1986</v>
      </c>
      <c r="D18" s="16"/>
      <c r="E18" s="26">
        <f t="shared" si="7"/>
        <v>8453.15</v>
      </c>
      <c r="F18" s="26">
        <f t="shared" si="0"/>
        <v>603.79999999999995</v>
      </c>
      <c r="G18" s="16"/>
      <c r="H18" s="27">
        <f t="shared" si="1"/>
        <v>6652.84</v>
      </c>
      <c r="I18" s="27">
        <f t="shared" si="2"/>
        <v>475.2</v>
      </c>
      <c r="J18" s="16"/>
      <c r="K18" s="28">
        <f t="shared" si="3"/>
        <v>5825.64</v>
      </c>
      <c r="L18" s="28">
        <f t="shared" si="8"/>
        <v>416.12</v>
      </c>
      <c r="M18" s="16"/>
      <c r="N18" s="29">
        <f t="shared" si="4"/>
        <v>5109.49</v>
      </c>
      <c r="O18" s="29">
        <f t="shared" si="9"/>
        <v>364.96</v>
      </c>
      <c r="P18" s="16"/>
      <c r="Q18" s="30">
        <f t="shared" si="5"/>
        <v>4042.46</v>
      </c>
      <c r="R18" s="30">
        <f t="shared" si="10"/>
        <v>288.75</v>
      </c>
      <c r="S18" s="16"/>
      <c r="T18" s="31">
        <f t="shared" si="6"/>
        <v>3446.52</v>
      </c>
      <c r="U18" s="31">
        <f t="shared" si="11"/>
        <v>246.18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4" x14ac:dyDescent="0.2">
      <c r="A19" s="16"/>
      <c r="B19" s="341">
        <v>13</v>
      </c>
      <c r="C19" s="4">
        <v>0.221</v>
      </c>
      <c r="D19" s="16"/>
      <c r="E19" s="26">
        <f t="shared" si="7"/>
        <v>9406.57</v>
      </c>
      <c r="F19" s="26">
        <f t="shared" si="0"/>
        <v>671.9</v>
      </c>
      <c r="G19" s="16"/>
      <c r="H19" s="27">
        <f t="shared" si="1"/>
        <v>7403.21</v>
      </c>
      <c r="I19" s="27">
        <f t="shared" si="2"/>
        <v>528.79999999999995</v>
      </c>
      <c r="J19" s="16"/>
      <c r="K19" s="28">
        <f t="shared" si="3"/>
        <v>6482.71</v>
      </c>
      <c r="L19" s="28">
        <f t="shared" si="8"/>
        <v>463.05</v>
      </c>
      <c r="M19" s="16"/>
      <c r="N19" s="29">
        <f t="shared" si="4"/>
        <v>5685.79</v>
      </c>
      <c r="O19" s="29">
        <f t="shared" si="9"/>
        <v>406.13</v>
      </c>
      <c r="P19" s="16"/>
      <c r="Q19" s="30">
        <f t="shared" si="5"/>
        <v>4498.3999999999996</v>
      </c>
      <c r="R19" s="30">
        <f t="shared" si="10"/>
        <v>321.31</v>
      </c>
      <c r="S19" s="16"/>
      <c r="T19" s="31">
        <f t="shared" si="6"/>
        <v>3835.25</v>
      </c>
      <c r="U19" s="31">
        <f t="shared" si="11"/>
        <v>273.95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4" x14ac:dyDescent="0.2">
      <c r="A20" s="16"/>
      <c r="B20" s="341">
        <v>14</v>
      </c>
      <c r="C20" s="4">
        <v>0.2445</v>
      </c>
      <c r="D20" s="16"/>
      <c r="E20" s="26">
        <f t="shared" si="7"/>
        <v>10406.82</v>
      </c>
      <c r="F20" s="26">
        <f t="shared" si="0"/>
        <v>743.34</v>
      </c>
      <c r="G20" s="16"/>
      <c r="H20" s="27">
        <f t="shared" si="1"/>
        <v>8190.43</v>
      </c>
      <c r="I20" s="27">
        <f t="shared" si="2"/>
        <v>585.03</v>
      </c>
      <c r="J20" s="16"/>
      <c r="K20" s="28">
        <f t="shared" si="3"/>
        <v>7172.05</v>
      </c>
      <c r="L20" s="28">
        <f t="shared" si="8"/>
        <v>512.29</v>
      </c>
      <c r="M20" s="16"/>
      <c r="N20" s="29">
        <f t="shared" si="4"/>
        <v>6290.39</v>
      </c>
      <c r="O20" s="29">
        <f t="shared" si="9"/>
        <v>449.31</v>
      </c>
      <c r="P20" s="16"/>
      <c r="Q20" s="30">
        <f t="shared" si="5"/>
        <v>4976.74</v>
      </c>
      <c r="R20" s="30">
        <f t="shared" si="10"/>
        <v>355.48</v>
      </c>
      <c r="S20" s="16"/>
      <c r="T20" s="31">
        <f t="shared" si="6"/>
        <v>4243.07</v>
      </c>
      <c r="U20" s="31">
        <f t="shared" si="11"/>
        <v>303.08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4" x14ac:dyDescent="0.2">
      <c r="A21" s="16"/>
      <c r="B21" s="341">
        <v>15</v>
      </c>
      <c r="C21" s="32">
        <v>0.26919999999999999</v>
      </c>
      <c r="D21" s="16"/>
      <c r="E21" s="26">
        <f t="shared" si="7"/>
        <v>11458.14</v>
      </c>
      <c r="F21" s="26">
        <f>ROUND(+E21/14,2)</f>
        <v>818.44</v>
      </c>
      <c r="G21" s="16"/>
      <c r="H21" s="27">
        <f t="shared" si="1"/>
        <v>9017.84</v>
      </c>
      <c r="I21" s="27">
        <f>ROUND(+H21/14,2)</f>
        <v>644.13</v>
      </c>
      <c r="J21" s="16"/>
      <c r="K21" s="28">
        <f t="shared" si="3"/>
        <v>7896.59</v>
      </c>
      <c r="L21" s="28">
        <f t="shared" si="8"/>
        <v>564.04</v>
      </c>
      <c r="M21" s="16"/>
      <c r="N21" s="29">
        <f t="shared" si="4"/>
        <v>6925.86</v>
      </c>
      <c r="O21" s="29">
        <f t="shared" si="9"/>
        <v>494.7</v>
      </c>
      <c r="P21" s="16"/>
      <c r="Q21" s="30">
        <f t="shared" si="5"/>
        <v>5479.5</v>
      </c>
      <c r="R21" s="30">
        <f t="shared" si="10"/>
        <v>391.39</v>
      </c>
      <c r="S21" s="16"/>
      <c r="T21" s="31">
        <f t="shared" si="6"/>
        <v>4671.71</v>
      </c>
      <c r="U21" s="31">
        <f t="shared" si="11"/>
        <v>333.69</v>
      </c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x14ac:dyDescent="0.2">
      <c r="A22" s="16"/>
      <c r="B22" s="341">
        <v>16</v>
      </c>
      <c r="C22" s="32">
        <v>0.30570000000000003</v>
      </c>
      <c r="D22" s="16"/>
      <c r="E22" s="26">
        <f t="shared" si="7"/>
        <v>13011.72</v>
      </c>
      <c r="F22" s="26">
        <f t="shared" ref="F22:I37" si="12">ROUND(+E22/14,2)</f>
        <v>929.41</v>
      </c>
      <c r="G22" s="16"/>
      <c r="H22" s="27">
        <f t="shared" si="1"/>
        <v>10240.549999999999</v>
      </c>
      <c r="I22" s="27">
        <f t="shared" si="12"/>
        <v>731.47</v>
      </c>
      <c r="J22" s="16"/>
      <c r="K22" s="28">
        <f t="shared" si="3"/>
        <v>8967.26</v>
      </c>
      <c r="L22" s="28">
        <f t="shared" si="8"/>
        <v>640.52</v>
      </c>
      <c r="M22" s="16"/>
      <c r="N22" s="29">
        <f t="shared" si="4"/>
        <v>7864.92</v>
      </c>
      <c r="O22" s="29">
        <f t="shared" si="9"/>
        <v>561.78</v>
      </c>
      <c r="P22" s="16"/>
      <c r="Q22" s="30">
        <f t="shared" si="5"/>
        <v>6222.45</v>
      </c>
      <c r="R22" s="30">
        <f t="shared" si="10"/>
        <v>444.46</v>
      </c>
      <c r="S22" s="16"/>
      <c r="T22" s="31">
        <f t="shared" si="6"/>
        <v>5305.14</v>
      </c>
      <c r="U22" s="31">
        <f t="shared" si="11"/>
        <v>378.94</v>
      </c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x14ac:dyDescent="0.2">
      <c r="A23" s="16"/>
      <c r="B23" s="341">
        <v>17</v>
      </c>
      <c r="C23" s="32">
        <v>0.34229999999999999</v>
      </c>
      <c r="D23" s="16"/>
      <c r="E23" s="26">
        <f t="shared" si="7"/>
        <v>14569.55</v>
      </c>
      <c r="F23" s="26">
        <f t="shared" si="12"/>
        <v>1040.68</v>
      </c>
      <c r="G23" s="16"/>
      <c r="H23" s="27">
        <f t="shared" si="1"/>
        <v>11466.6</v>
      </c>
      <c r="I23" s="27">
        <f t="shared" si="12"/>
        <v>819.04</v>
      </c>
      <c r="J23" s="16"/>
      <c r="K23" s="28">
        <f t="shared" si="3"/>
        <v>10040.870000000001</v>
      </c>
      <c r="L23" s="28">
        <f t="shared" si="8"/>
        <v>717.21</v>
      </c>
      <c r="M23" s="16"/>
      <c r="N23" s="29">
        <f t="shared" si="4"/>
        <v>8806.5400000000009</v>
      </c>
      <c r="O23" s="29">
        <f t="shared" si="9"/>
        <v>629.04</v>
      </c>
      <c r="P23" s="16"/>
      <c r="Q23" s="30">
        <f t="shared" si="5"/>
        <v>6967.43</v>
      </c>
      <c r="R23" s="30">
        <f t="shared" si="10"/>
        <v>497.67</v>
      </c>
      <c r="S23" s="16"/>
      <c r="T23" s="31">
        <f t="shared" si="6"/>
        <v>5940.29</v>
      </c>
      <c r="U23" s="31">
        <f t="shared" si="11"/>
        <v>424.31</v>
      </c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x14ac:dyDescent="0.2">
      <c r="A24" s="16"/>
      <c r="B24" s="341">
        <v>18</v>
      </c>
      <c r="C24" s="32">
        <v>0.37880000000000003</v>
      </c>
      <c r="D24" s="16"/>
      <c r="E24" s="26">
        <f t="shared" si="7"/>
        <v>16123.12</v>
      </c>
      <c r="F24" s="26">
        <f t="shared" si="12"/>
        <v>1151.6500000000001</v>
      </c>
      <c r="G24" s="16"/>
      <c r="H24" s="27">
        <f t="shared" si="1"/>
        <v>12689.3</v>
      </c>
      <c r="I24" s="27">
        <f t="shared" si="12"/>
        <v>906.38</v>
      </c>
      <c r="J24" s="16"/>
      <c r="K24" s="28">
        <f t="shared" si="3"/>
        <v>11111.54</v>
      </c>
      <c r="L24" s="28">
        <f t="shared" si="8"/>
        <v>793.68</v>
      </c>
      <c r="M24" s="16"/>
      <c r="N24" s="29">
        <f t="shared" si="4"/>
        <v>9745.6</v>
      </c>
      <c r="O24" s="29">
        <f t="shared" si="9"/>
        <v>696.11</v>
      </c>
      <c r="P24" s="16"/>
      <c r="Q24" s="30">
        <f t="shared" si="5"/>
        <v>7710.38</v>
      </c>
      <c r="R24" s="30">
        <f t="shared" si="10"/>
        <v>550.74</v>
      </c>
      <c r="S24" s="16"/>
      <c r="T24" s="31">
        <f t="shared" si="6"/>
        <v>6573.72</v>
      </c>
      <c r="U24" s="31">
        <f t="shared" si="11"/>
        <v>469.55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 x14ac:dyDescent="0.2">
      <c r="A25" s="16"/>
      <c r="B25" s="341">
        <v>19</v>
      </c>
      <c r="C25" s="32">
        <v>0.41539999999999999</v>
      </c>
      <c r="D25" s="16"/>
      <c r="E25" s="26">
        <f t="shared" si="7"/>
        <v>17680.95</v>
      </c>
      <c r="F25" s="26">
        <f t="shared" si="12"/>
        <v>1262.93</v>
      </c>
      <c r="G25" s="16"/>
      <c r="H25" s="27">
        <f t="shared" si="1"/>
        <v>13915.35</v>
      </c>
      <c r="I25" s="27">
        <f t="shared" si="12"/>
        <v>993.95</v>
      </c>
      <c r="J25" s="16"/>
      <c r="K25" s="28">
        <f t="shared" si="3"/>
        <v>12185.15</v>
      </c>
      <c r="L25" s="28">
        <f t="shared" si="8"/>
        <v>870.37</v>
      </c>
      <c r="M25" s="16"/>
      <c r="N25" s="29">
        <f t="shared" si="4"/>
        <v>10687.23</v>
      </c>
      <c r="O25" s="29">
        <f t="shared" si="9"/>
        <v>763.37</v>
      </c>
      <c r="P25" s="16"/>
      <c r="Q25" s="30">
        <f t="shared" si="5"/>
        <v>8455.3700000000008</v>
      </c>
      <c r="R25" s="30">
        <f t="shared" si="10"/>
        <v>603.96</v>
      </c>
      <c r="S25" s="16"/>
      <c r="T25" s="31">
        <f t="shared" si="6"/>
        <v>7208.88</v>
      </c>
      <c r="U25" s="31">
        <f t="shared" si="11"/>
        <v>514.91999999999996</v>
      </c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1:34" x14ac:dyDescent="0.2">
      <c r="A26" s="16"/>
      <c r="B26" s="341">
        <v>20</v>
      </c>
      <c r="C26" s="32">
        <v>0.45190000000000002</v>
      </c>
      <c r="D26" s="16"/>
      <c r="E26" s="26">
        <f t="shared" si="7"/>
        <v>19234.53</v>
      </c>
      <c r="F26" s="26">
        <f t="shared" si="12"/>
        <v>1373.9</v>
      </c>
      <c r="G26" s="16"/>
      <c r="H26" s="27">
        <f t="shared" si="1"/>
        <v>15138.05</v>
      </c>
      <c r="I26" s="27">
        <f t="shared" si="12"/>
        <v>1081.29</v>
      </c>
      <c r="J26" s="16"/>
      <c r="K26" s="28">
        <f t="shared" si="3"/>
        <v>13255.82</v>
      </c>
      <c r="L26" s="28">
        <f t="shared" si="8"/>
        <v>946.84</v>
      </c>
      <c r="M26" s="16"/>
      <c r="N26" s="29">
        <f t="shared" si="4"/>
        <v>11626.28</v>
      </c>
      <c r="O26" s="29">
        <f t="shared" si="9"/>
        <v>830.45</v>
      </c>
      <c r="P26" s="16"/>
      <c r="Q26" s="30">
        <f t="shared" si="5"/>
        <v>9198.32</v>
      </c>
      <c r="R26" s="30">
        <f t="shared" si="10"/>
        <v>657.02</v>
      </c>
      <c r="S26" s="16"/>
      <c r="T26" s="31">
        <f t="shared" si="6"/>
        <v>7842.3</v>
      </c>
      <c r="U26" s="31">
        <f t="shared" si="11"/>
        <v>560.16</v>
      </c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1:34" x14ac:dyDescent="0.2">
      <c r="A27" s="16"/>
      <c r="B27" s="341">
        <v>21</v>
      </c>
      <c r="C27" s="32">
        <v>0.4884</v>
      </c>
      <c r="D27" s="16"/>
      <c r="E27" s="26">
        <f t="shared" si="7"/>
        <v>20788.099999999999</v>
      </c>
      <c r="F27" s="26">
        <f t="shared" si="12"/>
        <v>1484.86</v>
      </c>
      <c r="G27" s="16"/>
      <c r="H27" s="27">
        <f t="shared" si="1"/>
        <v>16360.76</v>
      </c>
      <c r="I27" s="27">
        <f t="shared" si="12"/>
        <v>1168.6300000000001</v>
      </c>
      <c r="J27" s="16"/>
      <c r="K27" s="28">
        <f t="shared" si="3"/>
        <v>14326.5</v>
      </c>
      <c r="L27" s="28">
        <f t="shared" si="8"/>
        <v>1023.32</v>
      </c>
      <c r="M27" s="16"/>
      <c r="N27" s="29">
        <f t="shared" si="4"/>
        <v>12565.34</v>
      </c>
      <c r="O27" s="29">
        <f t="shared" si="9"/>
        <v>897.52</v>
      </c>
      <c r="P27" s="16"/>
      <c r="Q27" s="30">
        <f t="shared" si="5"/>
        <v>9941.26</v>
      </c>
      <c r="R27" s="30">
        <f t="shared" si="10"/>
        <v>710.09</v>
      </c>
      <c r="S27" s="16"/>
      <c r="T27" s="31">
        <f t="shared" si="6"/>
        <v>8475.7199999999993</v>
      </c>
      <c r="U27" s="31">
        <f t="shared" si="11"/>
        <v>605.41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x14ac:dyDescent="0.2">
      <c r="A28" s="16"/>
      <c r="B28" s="341">
        <v>22</v>
      </c>
      <c r="C28" s="32">
        <v>0.52500000000000002</v>
      </c>
      <c r="D28" s="16"/>
      <c r="E28" s="26">
        <f t="shared" si="7"/>
        <v>22345.93</v>
      </c>
      <c r="F28" s="26">
        <f t="shared" si="12"/>
        <v>1596.14</v>
      </c>
      <c r="G28" s="16"/>
      <c r="H28" s="27">
        <f t="shared" si="1"/>
        <v>17586.810000000001</v>
      </c>
      <c r="I28" s="27">
        <f t="shared" si="12"/>
        <v>1256.2</v>
      </c>
      <c r="J28" s="16"/>
      <c r="K28" s="28">
        <f t="shared" si="3"/>
        <v>15400.1</v>
      </c>
      <c r="L28" s="28">
        <f t="shared" si="8"/>
        <v>1100.01</v>
      </c>
      <c r="M28" s="16"/>
      <c r="N28" s="29">
        <f t="shared" si="4"/>
        <v>13506.97</v>
      </c>
      <c r="O28" s="29">
        <f t="shared" si="9"/>
        <v>964.78</v>
      </c>
      <c r="P28" s="16"/>
      <c r="Q28" s="30">
        <f t="shared" si="5"/>
        <v>10686.25</v>
      </c>
      <c r="R28" s="30">
        <f t="shared" si="10"/>
        <v>763.3</v>
      </c>
      <c r="S28" s="16"/>
      <c r="T28" s="31">
        <f t="shared" si="6"/>
        <v>9110.8799999999992</v>
      </c>
      <c r="U28" s="31">
        <f t="shared" si="11"/>
        <v>650.78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</row>
    <row r="29" spans="1:34" x14ac:dyDescent="0.2">
      <c r="A29" s="16"/>
      <c r="B29" s="341">
        <v>23</v>
      </c>
      <c r="C29" s="32">
        <v>0.5615</v>
      </c>
      <c r="D29" s="16"/>
      <c r="E29" s="26">
        <f t="shared" si="7"/>
        <v>23899.51</v>
      </c>
      <c r="F29" s="26">
        <f t="shared" si="12"/>
        <v>1707.11</v>
      </c>
      <c r="G29" s="16"/>
      <c r="H29" s="27">
        <f t="shared" si="1"/>
        <v>18809.509999999998</v>
      </c>
      <c r="I29" s="27">
        <f t="shared" si="12"/>
        <v>1343.54</v>
      </c>
      <c r="J29" s="16"/>
      <c r="K29" s="28">
        <f t="shared" si="3"/>
        <v>16470.78</v>
      </c>
      <c r="L29" s="28">
        <f t="shared" si="8"/>
        <v>1176.48</v>
      </c>
      <c r="M29" s="16"/>
      <c r="N29" s="29">
        <f t="shared" si="4"/>
        <v>14446.02</v>
      </c>
      <c r="O29" s="29">
        <f t="shared" si="9"/>
        <v>1031.8599999999999</v>
      </c>
      <c r="P29" s="16"/>
      <c r="Q29" s="30">
        <f t="shared" si="5"/>
        <v>11429.2</v>
      </c>
      <c r="R29" s="30">
        <f t="shared" si="10"/>
        <v>816.37</v>
      </c>
      <c r="S29" s="16"/>
      <c r="T29" s="31">
        <f t="shared" si="6"/>
        <v>9744.2999999999993</v>
      </c>
      <c r="U29" s="31">
        <f t="shared" si="11"/>
        <v>696.02</v>
      </c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x14ac:dyDescent="0.2">
      <c r="A30" s="16"/>
      <c r="B30" s="341">
        <v>24</v>
      </c>
      <c r="C30" s="32">
        <v>0.59809999999999997</v>
      </c>
      <c r="D30" s="16"/>
      <c r="E30" s="26">
        <f t="shared" si="7"/>
        <v>25457.34</v>
      </c>
      <c r="F30" s="26">
        <f t="shared" si="12"/>
        <v>1818.38</v>
      </c>
      <c r="G30" s="16"/>
      <c r="H30" s="27">
        <f t="shared" si="1"/>
        <v>20035.560000000001</v>
      </c>
      <c r="I30" s="27">
        <f t="shared" si="12"/>
        <v>1431.11</v>
      </c>
      <c r="J30" s="16"/>
      <c r="K30" s="28">
        <f t="shared" si="3"/>
        <v>17544.38</v>
      </c>
      <c r="L30" s="28">
        <f t="shared" si="8"/>
        <v>1253.17</v>
      </c>
      <c r="M30" s="16"/>
      <c r="N30" s="29">
        <f t="shared" si="4"/>
        <v>15387.65</v>
      </c>
      <c r="O30" s="29">
        <f t="shared" si="9"/>
        <v>1099.1199999999999</v>
      </c>
      <c r="P30" s="16"/>
      <c r="Q30" s="30">
        <f t="shared" si="5"/>
        <v>12174.18</v>
      </c>
      <c r="R30" s="30">
        <f t="shared" si="10"/>
        <v>869.58</v>
      </c>
      <c r="S30" s="16"/>
      <c r="T30" s="31">
        <f t="shared" si="6"/>
        <v>10379.459999999999</v>
      </c>
      <c r="U30" s="31">
        <f t="shared" si="11"/>
        <v>741.39</v>
      </c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x14ac:dyDescent="0.2">
      <c r="A31" s="16"/>
      <c r="B31" s="341">
        <v>25</v>
      </c>
      <c r="C31" s="32">
        <v>0.63460000000000005</v>
      </c>
      <c r="D31" s="16"/>
      <c r="E31" s="26">
        <f t="shared" si="7"/>
        <v>27010.91</v>
      </c>
      <c r="F31" s="26">
        <f t="shared" si="12"/>
        <v>1929.35</v>
      </c>
      <c r="G31" s="16"/>
      <c r="H31" s="27">
        <f t="shared" si="1"/>
        <v>21258.26</v>
      </c>
      <c r="I31" s="27">
        <f t="shared" si="12"/>
        <v>1518.45</v>
      </c>
      <c r="J31" s="16"/>
      <c r="K31" s="28">
        <f t="shared" si="3"/>
        <v>18615.060000000001</v>
      </c>
      <c r="L31" s="28">
        <f t="shared" si="8"/>
        <v>1329.65</v>
      </c>
      <c r="M31" s="16"/>
      <c r="N31" s="29">
        <f t="shared" si="4"/>
        <v>16326.71</v>
      </c>
      <c r="O31" s="29">
        <f t="shared" si="9"/>
        <v>1166.19</v>
      </c>
      <c r="P31" s="16"/>
      <c r="Q31" s="30">
        <f t="shared" si="5"/>
        <v>12917.13</v>
      </c>
      <c r="R31" s="30">
        <f t="shared" si="10"/>
        <v>922.65</v>
      </c>
      <c r="S31" s="16"/>
      <c r="T31" s="31">
        <f t="shared" si="6"/>
        <v>11012.89</v>
      </c>
      <c r="U31" s="31">
        <f t="shared" si="11"/>
        <v>786.64</v>
      </c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</row>
    <row r="32" spans="1:34" x14ac:dyDescent="0.2">
      <c r="A32" s="16"/>
      <c r="B32" s="341">
        <v>26</v>
      </c>
      <c r="C32" s="32">
        <v>0.67110000000000003</v>
      </c>
      <c r="D32" s="16"/>
      <c r="E32" s="26">
        <f t="shared" si="7"/>
        <v>28564.49</v>
      </c>
      <c r="F32" s="26">
        <f t="shared" si="12"/>
        <v>2040.32</v>
      </c>
      <c r="G32" s="16"/>
      <c r="H32" s="27">
        <f t="shared" si="1"/>
        <v>22480.959999999999</v>
      </c>
      <c r="I32" s="27">
        <f t="shared" si="12"/>
        <v>1605.78</v>
      </c>
      <c r="J32" s="16"/>
      <c r="K32" s="28">
        <f t="shared" si="3"/>
        <v>19685.73</v>
      </c>
      <c r="L32" s="28">
        <f t="shared" si="8"/>
        <v>1406.12</v>
      </c>
      <c r="M32" s="16"/>
      <c r="N32" s="29">
        <f t="shared" si="4"/>
        <v>17265.77</v>
      </c>
      <c r="O32" s="29">
        <f t="shared" si="9"/>
        <v>1233.27</v>
      </c>
      <c r="P32" s="16"/>
      <c r="Q32" s="30">
        <f t="shared" si="5"/>
        <v>13660.08</v>
      </c>
      <c r="R32" s="30">
        <f t="shared" si="10"/>
        <v>975.72</v>
      </c>
      <c r="S32" s="16"/>
      <c r="T32" s="31">
        <f t="shared" si="6"/>
        <v>11646.31</v>
      </c>
      <c r="U32" s="31">
        <f t="shared" si="11"/>
        <v>831.88</v>
      </c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3" spans="1:34" x14ac:dyDescent="0.2">
      <c r="A33" s="16"/>
      <c r="B33" s="341">
        <v>27</v>
      </c>
      <c r="C33" s="32">
        <v>0.7077</v>
      </c>
      <c r="D33" s="16"/>
      <c r="E33" s="26">
        <f t="shared" si="7"/>
        <v>30122.32</v>
      </c>
      <c r="F33" s="26">
        <f t="shared" si="12"/>
        <v>2151.59</v>
      </c>
      <c r="G33" s="16"/>
      <c r="H33" s="27">
        <f t="shared" si="1"/>
        <v>23707.02</v>
      </c>
      <c r="I33" s="27">
        <f t="shared" si="12"/>
        <v>1693.36</v>
      </c>
      <c r="J33" s="16"/>
      <c r="K33" s="28">
        <f t="shared" si="3"/>
        <v>20759.34</v>
      </c>
      <c r="L33" s="28">
        <f t="shared" si="8"/>
        <v>1482.81</v>
      </c>
      <c r="M33" s="16"/>
      <c r="N33" s="29">
        <f t="shared" si="4"/>
        <v>18207.39</v>
      </c>
      <c r="O33" s="29">
        <f t="shared" si="9"/>
        <v>1300.53</v>
      </c>
      <c r="P33" s="16"/>
      <c r="Q33" s="30">
        <f t="shared" si="5"/>
        <v>14405.06</v>
      </c>
      <c r="R33" s="30">
        <f t="shared" si="10"/>
        <v>1028.93</v>
      </c>
      <c r="S33" s="16"/>
      <c r="T33" s="31">
        <f t="shared" si="6"/>
        <v>12281.47</v>
      </c>
      <c r="U33" s="31">
        <f t="shared" si="11"/>
        <v>877.25</v>
      </c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</row>
    <row r="34" spans="1:34" x14ac:dyDescent="0.2">
      <c r="A34" s="16"/>
      <c r="B34" s="341">
        <v>28</v>
      </c>
      <c r="C34" s="32">
        <v>0.74419999999999997</v>
      </c>
      <c r="D34" s="16"/>
      <c r="E34" s="26">
        <f t="shared" si="7"/>
        <v>31675.89</v>
      </c>
      <c r="F34" s="26">
        <f t="shared" si="12"/>
        <v>2262.56</v>
      </c>
      <c r="G34" s="16"/>
      <c r="H34" s="27">
        <f t="shared" si="1"/>
        <v>24929.72</v>
      </c>
      <c r="I34" s="27">
        <f t="shared" si="12"/>
        <v>1780.69</v>
      </c>
      <c r="J34" s="16"/>
      <c r="K34" s="28">
        <f t="shared" si="3"/>
        <v>21830.01</v>
      </c>
      <c r="L34" s="28">
        <f t="shared" si="8"/>
        <v>1559.29</v>
      </c>
      <c r="M34" s="16"/>
      <c r="N34" s="29">
        <f t="shared" si="4"/>
        <v>19146.45</v>
      </c>
      <c r="O34" s="29">
        <f t="shared" si="9"/>
        <v>1367.6</v>
      </c>
      <c r="P34" s="16"/>
      <c r="Q34" s="30">
        <f t="shared" si="5"/>
        <v>15148.01</v>
      </c>
      <c r="R34" s="30">
        <f t="shared" si="10"/>
        <v>1082</v>
      </c>
      <c r="S34" s="16"/>
      <c r="T34" s="31">
        <f t="shared" si="6"/>
        <v>12914.89</v>
      </c>
      <c r="U34" s="31">
        <f t="shared" si="11"/>
        <v>922.49</v>
      </c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x14ac:dyDescent="0.2">
      <c r="A35" s="16"/>
      <c r="B35" s="341">
        <v>29</v>
      </c>
      <c r="C35" s="32">
        <v>0.78080000000000005</v>
      </c>
      <c r="D35" s="16"/>
      <c r="E35" s="26">
        <f t="shared" si="7"/>
        <v>33233.72</v>
      </c>
      <c r="F35" s="26">
        <f t="shared" si="12"/>
        <v>2373.84</v>
      </c>
      <c r="G35" s="16"/>
      <c r="H35" s="27">
        <f t="shared" si="1"/>
        <v>26155.77</v>
      </c>
      <c r="I35" s="27">
        <f t="shared" si="12"/>
        <v>1868.27</v>
      </c>
      <c r="J35" s="16"/>
      <c r="K35" s="28">
        <f t="shared" si="3"/>
        <v>22903.62</v>
      </c>
      <c r="L35" s="28">
        <f t="shared" si="8"/>
        <v>1635.97</v>
      </c>
      <c r="M35" s="16"/>
      <c r="N35" s="29">
        <f t="shared" si="4"/>
        <v>20088.080000000002</v>
      </c>
      <c r="O35" s="29">
        <f t="shared" si="9"/>
        <v>1434.86</v>
      </c>
      <c r="P35" s="16"/>
      <c r="Q35" s="30">
        <f t="shared" si="5"/>
        <v>15893</v>
      </c>
      <c r="R35" s="30">
        <f t="shared" si="10"/>
        <v>1135.21</v>
      </c>
      <c r="S35" s="16"/>
      <c r="T35" s="31">
        <f t="shared" si="6"/>
        <v>13550.05</v>
      </c>
      <c r="U35" s="31">
        <f t="shared" si="11"/>
        <v>967.86</v>
      </c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1:34" x14ac:dyDescent="0.2">
      <c r="A36" s="16"/>
      <c r="B36" s="341">
        <v>30</v>
      </c>
      <c r="C36" s="32">
        <v>0.81730000000000003</v>
      </c>
      <c r="D36" s="16"/>
      <c r="E36" s="26">
        <f t="shared" si="7"/>
        <v>34787.300000000003</v>
      </c>
      <c r="F36" s="26">
        <f t="shared" si="12"/>
        <v>2484.81</v>
      </c>
      <c r="G36" s="16"/>
      <c r="H36" s="27">
        <f t="shared" si="1"/>
        <v>27378.47</v>
      </c>
      <c r="I36" s="27">
        <f t="shared" si="12"/>
        <v>1955.61</v>
      </c>
      <c r="J36" s="16"/>
      <c r="K36" s="28">
        <f t="shared" si="3"/>
        <v>23974.29</v>
      </c>
      <c r="L36" s="28">
        <f t="shared" si="8"/>
        <v>1712.45</v>
      </c>
      <c r="M36" s="16"/>
      <c r="N36" s="29">
        <f t="shared" si="4"/>
        <v>21027.13</v>
      </c>
      <c r="O36" s="29">
        <f t="shared" si="9"/>
        <v>1501.94</v>
      </c>
      <c r="P36" s="16"/>
      <c r="Q36" s="30">
        <f t="shared" si="5"/>
        <v>16635.95</v>
      </c>
      <c r="R36" s="30">
        <f t="shared" si="10"/>
        <v>1188.28</v>
      </c>
      <c r="S36" s="16"/>
      <c r="T36" s="31">
        <f t="shared" si="6"/>
        <v>14183.47</v>
      </c>
      <c r="U36" s="31">
        <f t="shared" si="11"/>
        <v>1013.11</v>
      </c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x14ac:dyDescent="0.2">
      <c r="A37" s="16"/>
      <c r="B37" s="341">
        <v>31</v>
      </c>
      <c r="C37" s="32">
        <v>0.8538</v>
      </c>
      <c r="D37" s="16"/>
      <c r="E37" s="26">
        <f t="shared" si="7"/>
        <v>36340.870000000003</v>
      </c>
      <c r="F37" s="26">
        <f t="shared" si="12"/>
        <v>2595.7800000000002</v>
      </c>
      <c r="G37" s="16"/>
      <c r="H37" s="27">
        <f t="shared" si="1"/>
        <v>28601.17</v>
      </c>
      <c r="I37" s="27">
        <f t="shared" si="12"/>
        <v>2042.94</v>
      </c>
      <c r="J37" s="16"/>
      <c r="K37" s="28">
        <f t="shared" si="3"/>
        <v>25044.97</v>
      </c>
      <c r="L37" s="28">
        <f t="shared" si="8"/>
        <v>1788.93</v>
      </c>
      <c r="M37" s="16"/>
      <c r="N37" s="29">
        <f t="shared" si="4"/>
        <v>21966.19</v>
      </c>
      <c r="O37" s="29">
        <f t="shared" si="9"/>
        <v>1569.01</v>
      </c>
      <c r="P37" s="16"/>
      <c r="Q37" s="30">
        <f t="shared" si="5"/>
        <v>17378.89</v>
      </c>
      <c r="R37" s="30">
        <f t="shared" si="10"/>
        <v>1241.3499999999999</v>
      </c>
      <c r="S37" s="16"/>
      <c r="T37" s="31">
        <f t="shared" si="6"/>
        <v>14816.9</v>
      </c>
      <c r="U37" s="31">
        <f t="shared" si="11"/>
        <v>1058.3499999999999</v>
      </c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x14ac:dyDescent="0.2">
      <c r="A38" s="16"/>
      <c r="B38" s="341">
        <v>32</v>
      </c>
      <c r="C38" s="32">
        <v>0.89039999999999997</v>
      </c>
      <c r="D38" s="16"/>
      <c r="E38" s="26">
        <f t="shared" si="7"/>
        <v>37898.699999999997</v>
      </c>
      <c r="F38" s="26">
        <f t="shared" ref="F38:I41" si="13">ROUND(+E38/14,2)</f>
        <v>2707.05</v>
      </c>
      <c r="G38" s="16"/>
      <c r="H38" s="27">
        <f t="shared" si="1"/>
        <v>29827.22</v>
      </c>
      <c r="I38" s="27">
        <f t="shared" si="13"/>
        <v>2130.52</v>
      </c>
      <c r="J38" s="16"/>
      <c r="K38" s="28">
        <f t="shared" si="3"/>
        <v>26118.58</v>
      </c>
      <c r="L38" s="28">
        <f t="shared" si="8"/>
        <v>1865.61</v>
      </c>
      <c r="M38" s="16"/>
      <c r="N38" s="29">
        <f t="shared" si="4"/>
        <v>22907.82</v>
      </c>
      <c r="O38" s="29">
        <f t="shared" si="9"/>
        <v>1636.27</v>
      </c>
      <c r="P38" s="16"/>
      <c r="Q38" s="30">
        <f t="shared" si="5"/>
        <v>18123.88</v>
      </c>
      <c r="R38" s="30">
        <f t="shared" si="10"/>
        <v>1294.56</v>
      </c>
      <c r="S38" s="16"/>
      <c r="T38" s="31">
        <f t="shared" si="6"/>
        <v>15452.06</v>
      </c>
      <c r="U38" s="31">
        <f t="shared" si="11"/>
        <v>1103.72</v>
      </c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x14ac:dyDescent="0.2">
      <c r="A39" s="16"/>
      <c r="B39" s="341">
        <v>33</v>
      </c>
      <c r="C39" s="32">
        <v>0.92689999999999995</v>
      </c>
      <c r="D39" s="16"/>
      <c r="E39" s="26">
        <f t="shared" si="7"/>
        <v>37904.86</v>
      </c>
      <c r="F39" s="26">
        <f t="shared" si="13"/>
        <v>2707.49</v>
      </c>
      <c r="G39" s="16"/>
      <c r="H39" s="27">
        <f t="shared" si="1"/>
        <v>31049.93</v>
      </c>
      <c r="I39" s="27">
        <f t="shared" si="13"/>
        <v>2217.85</v>
      </c>
      <c r="J39" s="16"/>
      <c r="K39" s="28">
        <f t="shared" si="3"/>
        <v>27189.25</v>
      </c>
      <c r="L39" s="28">
        <f t="shared" si="8"/>
        <v>1942.09</v>
      </c>
      <c r="M39" s="16"/>
      <c r="N39" s="29">
        <f t="shared" si="4"/>
        <v>23846.880000000001</v>
      </c>
      <c r="O39" s="29">
        <f t="shared" si="9"/>
        <v>1703.35</v>
      </c>
      <c r="P39" s="16"/>
      <c r="Q39" s="30">
        <f t="shared" si="5"/>
        <v>18866.830000000002</v>
      </c>
      <c r="R39" s="30">
        <f t="shared" si="10"/>
        <v>1347.63</v>
      </c>
      <c r="S39" s="16"/>
      <c r="T39" s="31">
        <f t="shared" si="6"/>
        <v>16085.48</v>
      </c>
      <c r="U39" s="31">
        <f t="shared" si="11"/>
        <v>1148.96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x14ac:dyDescent="0.2">
      <c r="A40" s="16"/>
      <c r="B40" s="341">
        <v>34</v>
      </c>
      <c r="C40" s="32">
        <v>0.96350000000000002</v>
      </c>
      <c r="D40" s="16"/>
      <c r="E40" s="26">
        <f t="shared" si="7"/>
        <v>37904.86</v>
      </c>
      <c r="F40" s="26">
        <f t="shared" si="13"/>
        <v>2707.49</v>
      </c>
      <c r="G40" s="16"/>
      <c r="H40" s="27">
        <f t="shared" si="1"/>
        <v>32275.98</v>
      </c>
      <c r="I40" s="27">
        <f t="shared" si="13"/>
        <v>2305.4299999999998</v>
      </c>
      <c r="J40" s="16"/>
      <c r="K40" s="28">
        <f t="shared" si="3"/>
        <v>28262.86</v>
      </c>
      <c r="L40" s="28">
        <f t="shared" si="8"/>
        <v>2018.78</v>
      </c>
      <c r="M40" s="16"/>
      <c r="N40" s="29">
        <f t="shared" si="4"/>
        <v>24788.5</v>
      </c>
      <c r="O40" s="29">
        <f t="shared" si="9"/>
        <v>1770.61</v>
      </c>
      <c r="P40" s="16"/>
      <c r="Q40" s="30">
        <f t="shared" si="5"/>
        <v>19611.810000000001</v>
      </c>
      <c r="R40" s="30">
        <f t="shared" si="10"/>
        <v>1400.84</v>
      </c>
      <c r="S40" s="16"/>
      <c r="T40" s="31">
        <f t="shared" si="6"/>
        <v>16720.64</v>
      </c>
      <c r="U40" s="31">
        <f t="shared" si="11"/>
        <v>1194.33</v>
      </c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x14ac:dyDescent="0.2">
      <c r="A41" s="16"/>
      <c r="B41" s="341">
        <v>35</v>
      </c>
      <c r="C41" s="32">
        <v>1</v>
      </c>
      <c r="D41" s="16"/>
      <c r="E41" s="26">
        <f t="shared" si="7"/>
        <v>37904.86</v>
      </c>
      <c r="F41" s="26">
        <f t="shared" si="13"/>
        <v>2707.49</v>
      </c>
      <c r="G41" s="16"/>
      <c r="H41" s="27">
        <f t="shared" si="1"/>
        <v>33498.68</v>
      </c>
      <c r="I41" s="27">
        <f t="shared" si="13"/>
        <v>2392.7600000000002</v>
      </c>
      <c r="J41" s="16"/>
      <c r="K41" s="28">
        <f t="shared" si="3"/>
        <v>29333.53</v>
      </c>
      <c r="L41" s="28">
        <f t="shared" si="8"/>
        <v>2095.25</v>
      </c>
      <c r="M41" s="16"/>
      <c r="N41" s="29">
        <f t="shared" si="4"/>
        <v>25727.56</v>
      </c>
      <c r="O41" s="29">
        <f t="shared" si="9"/>
        <v>1837.68</v>
      </c>
      <c r="P41" s="16"/>
      <c r="Q41" s="30">
        <f t="shared" si="5"/>
        <v>20354.759999999998</v>
      </c>
      <c r="R41" s="30">
        <f t="shared" si="10"/>
        <v>1453.91</v>
      </c>
      <c r="S41" s="16"/>
      <c r="T41" s="31">
        <f t="shared" si="6"/>
        <v>17354.060000000001</v>
      </c>
      <c r="U41" s="31">
        <f t="shared" si="11"/>
        <v>1239.58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x14ac:dyDescent="0.2">
      <c r="A43" s="16"/>
      <c r="B43" s="16"/>
      <c r="C43" s="16"/>
      <c r="D43" s="16"/>
      <c r="E43" s="391" t="s">
        <v>68</v>
      </c>
      <c r="F43" s="103"/>
      <c r="G43" s="103"/>
      <c r="H43" s="104"/>
      <c r="I43" s="96">
        <v>37904.86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x14ac:dyDescent="0.2">
      <c r="A44" s="16"/>
      <c r="B44" s="16"/>
      <c r="C44" s="16"/>
      <c r="D44" s="16"/>
      <c r="E44" s="391" t="s">
        <v>69</v>
      </c>
      <c r="F44" s="103"/>
      <c r="G44" s="103"/>
      <c r="H44" s="104"/>
      <c r="I44" s="96">
        <f>+I43/14</f>
        <v>2707.4900000000002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x14ac:dyDescent="0.2">
      <c r="A45" s="16"/>
      <c r="B45" s="16"/>
      <c r="C45" s="16"/>
      <c r="D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x14ac:dyDescent="0.2">
      <c r="A46" s="16"/>
      <c r="B46" s="16"/>
      <c r="C46" s="16"/>
      <c r="D46" s="16"/>
      <c r="E46" s="9"/>
      <c r="F46" s="9"/>
      <c r="G46" s="9"/>
      <c r="H46" s="7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x14ac:dyDescent="0.2">
      <c r="A47" s="16"/>
      <c r="B47" s="16"/>
      <c r="C47" s="16"/>
      <c r="D47" s="16"/>
      <c r="E47" s="9"/>
      <c r="F47" s="9"/>
      <c r="G47" s="9"/>
      <c r="H47" s="7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x14ac:dyDescent="0.2">
      <c r="A48" s="16"/>
      <c r="B48" s="16"/>
      <c r="C48" s="16"/>
      <c r="D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1:34" x14ac:dyDescent="0.2">
      <c r="A49" s="16"/>
      <c r="B49" s="16"/>
      <c r="C49" s="16"/>
      <c r="D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1:34" x14ac:dyDescent="0.2">
      <c r="A50" s="16"/>
      <c r="B50" s="16"/>
      <c r="C50" s="16"/>
      <c r="D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1:34" x14ac:dyDescent="0.2">
      <c r="A51" s="16"/>
      <c r="B51" s="16"/>
      <c r="C51" s="16"/>
      <c r="D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</row>
    <row r="52" spans="1:34" x14ac:dyDescent="0.2">
      <c r="A52" s="16"/>
      <c r="B52" s="16"/>
      <c r="C52" s="16"/>
      <c r="D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x14ac:dyDescent="0.2">
      <c r="A53" s="16"/>
      <c r="B53" s="16"/>
      <c r="C53" s="16"/>
      <c r="D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</row>
    <row r="54" spans="1:34" x14ac:dyDescent="0.2">
      <c r="A54" s="16"/>
      <c r="B54" s="16"/>
      <c r="C54" s="16"/>
      <c r="D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</row>
    <row r="55" spans="1:34" x14ac:dyDescent="0.2">
      <c r="A55" s="16"/>
      <c r="B55" s="16"/>
      <c r="C55" s="16"/>
      <c r="D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</row>
    <row r="56" spans="1:34" x14ac:dyDescent="0.2">
      <c r="A56" s="16"/>
      <c r="B56" s="16"/>
      <c r="C56" s="16"/>
      <c r="D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</row>
    <row r="57" spans="1:34" x14ac:dyDescent="0.2">
      <c r="A57" s="16"/>
      <c r="B57" s="16"/>
      <c r="C57" s="16"/>
      <c r="D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</row>
    <row r="58" spans="1:34" x14ac:dyDescent="0.2">
      <c r="A58" s="16"/>
      <c r="B58" s="16"/>
      <c r="C58" s="16"/>
      <c r="D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</row>
    <row r="59" spans="1:34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</row>
    <row r="60" spans="1:34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</row>
    <row r="61" spans="1:34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</row>
    <row r="62" spans="1:34" x14ac:dyDescent="0.2">
      <c r="A62" s="16"/>
      <c r="B62" s="16"/>
      <c r="C62" s="16"/>
      <c r="D62" s="16"/>
      <c r="E62" s="16"/>
      <c r="F62" s="16"/>
      <c r="G62" s="16"/>
      <c r="H62" s="16"/>
      <c r="I62" s="392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</row>
    <row r="63" spans="1:34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1:34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</row>
    <row r="65" spans="1:34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</row>
    <row r="66" spans="1:34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</row>
  </sheetData>
  <sheetProtection algorithmName="SHA-512" hashValue="1oxqFOCd3E3iIb/AAjIQygdWE83s94QhzqSXAZx4GPtW7usjRl15L+s5G0RZWL3akLL02WmA7cadG5i7do/EYQ==" saltValue="ublCnM1kUl9ZckbvIMODbQ==" spinCount="100000" sheet="1" objects="1" scenarios="1" selectLockedCells="1"/>
  <mergeCells count="9">
    <mergeCell ref="B1:U1"/>
    <mergeCell ref="B5:C5"/>
    <mergeCell ref="B4:C4"/>
    <mergeCell ref="N4:O4"/>
    <mergeCell ref="Q4:R4"/>
    <mergeCell ref="T4:U4"/>
    <mergeCell ref="E4:F4"/>
    <mergeCell ref="H4:I4"/>
    <mergeCell ref="K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hidden="1" customWidth="1"/>
    <col min="4" max="4" width="33.5703125" style="1" hidden="1" customWidth="1"/>
    <col min="5" max="7" width="13.28515625" style="1" hidden="1" customWidth="1"/>
    <col min="8" max="8" width="12.140625" style="1" hidden="1" customWidth="1"/>
    <col min="9" max="9" width="10.7109375" style="1" hidden="1" customWidth="1"/>
    <col min="10" max="10" width="3.85546875" style="1" hidden="1" customWidth="1"/>
    <col min="11" max="12" width="11.42578125" style="1" hidden="1" customWidth="1"/>
    <col min="13" max="13" width="12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36</v>
      </c>
      <c r="B6" s="81">
        <f>+DatosIRPF!B6</f>
        <v>60.722792607802873</v>
      </c>
      <c r="C6" s="50">
        <f>IF(AND(B6&gt;65,B6&lt;75),918,IF(B6&gt;75,918+2040,0))</f>
        <v>0</v>
      </c>
      <c r="D6" s="16"/>
      <c r="E6" s="6"/>
      <c r="F6" s="6"/>
      <c r="G6" s="6"/>
      <c r="H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13" t="str">
        <f>+DatosIRPF!B7</f>
        <v>NO</v>
      </c>
      <c r="C7" s="50">
        <f>IF(B7="si",3246,0)</f>
        <v>0</v>
      </c>
      <c r="D7" s="16"/>
      <c r="E7" s="6"/>
      <c r="F7" s="6"/>
      <c r="G7" s="6"/>
      <c r="H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13" t="str">
        <f>+DatosIRPF!B8</f>
        <v>NO</v>
      </c>
      <c r="C8" s="50">
        <f>IF(B8="si",7242,0)</f>
        <v>0</v>
      </c>
      <c r="D8" s="16"/>
      <c r="E8" s="6"/>
      <c r="F8" s="6"/>
      <c r="G8" s="6"/>
      <c r="H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F9" s="6"/>
      <c r="G9" s="6"/>
      <c r="H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F10" s="6"/>
      <c r="G10" s="6"/>
      <c r="H10" s="6"/>
      <c r="I10" s="6"/>
      <c r="J10" s="1">
        <v>7</v>
      </c>
      <c r="K10" s="6"/>
      <c r="L10" s="6"/>
      <c r="M10" s="6"/>
      <c r="N10" s="11"/>
    </row>
    <row r="11" spans="1:14" ht="13.5" hidden="1" thickBot="1" x14ac:dyDescent="0.25">
      <c r="A11" s="49" t="s">
        <v>38</v>
      </c>
      <c r="B11" s="51" t="str">
        <f>+DatosIRPF!B11</f>
        <v>NO</v>
      </c>
      <c r="C11" s="16"/>
      <c r="D11" s="16"/>
      <c r="E11" s="6"/>
      <c r="F11" s="6"/>
      <c r="G11" s="6"/>
      <c r="H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51">
        <f>+DatosIRPF!B12</f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F12" s="513"/>
      <c r="G12" s="514"/>
      <c r="H12" s="515"/>
      <c r="I12" s="6"/>
      <c r="K12" s="6"/>
      <c r="L12" s="6"/>
    </row>
    <row r="13" spans="1:14" ht="13.5" hidden="1" thickBot="1" x14ac:dyDescent="0.25">
      <c r="A13" s="49" t="s">
        <v>40</v>
      </c>
      <c r="B13" s="51">
        <f>+DatosIRPF!B13</f>
        <v>0</v>
      </c>
      <c r="C13" s="50">
        <f>IF(B11="NO",+B13*2800/2,+B13*2800)</f>
        <v>0</v>
      </c>
      <c r="D13" s="16"/>
      <c r="E13" s="52"/>
      <c r="F13" s="53"/>
      <c r="G13" s="54"/>
      <c r="H13" s="55"/>
      <c r="I13" s="6"/>
      <c r="K13" s="6"/>
      <c r="L13" s="6"/>
    </row>
    <row r="14" spans="1:14" hidden="1" x14ac:dyDescent="0.2">
      <c r="A14" s="56" t="s">
        <v>41</v>
      </c>
      <c r="B14" s="51">
        <f>+DatosIRPF!B14</f>
        <v>0</v>
      </c>
      <c r="C14" s="50">
        <f>IF(B11="NO",(B14*2316*1.29)/2,(B14*2316*1.29))</f>
        <v>0</v>
      </c>
      <c r="D14" s="16"/>
      <c r="E14" s="52"/>
      <c r="F14" s="57"/>
      <c r="G14" s="58"/>
      <c r="H14" s="59"/>
      <c r="I14" s="6"/>
      <c r="K14" s="6"/>
      <c r="L14" s="6"/>
    </row>
    <row r="15" spans="1:14" hidden="1" x14ac:dyDescent="0.2">
      <c r="A15" s="56" t="s">
        <v>42</v>
      </c>
      <c r="B15" s="51">
        <f>+DatosIRPF!B15</f>
        <v>0</v>
      </c>
      <c r="C15" s="50">
        <f>IF(B11="NO",(B15*7038*1.29)/2,(B15*7038*1.29))</f>
        <v>0</v>
      </c>
      <c r="D15" s="16"/>
      <c r="E15" s="52"/>
      <c r="F15" s="60"/>
      <c r="G15" s="61"/>
      <c r="H15" s="6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F16" s="60"/>
      <c r="G16" s="61"/>
      <c r="H16" s="6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F17" s="60"/>
      <c r="G17" s="61"/>
      <c r="H17" s="62"/>
      <c r="I17" s="6"/>
      <c r="K17" s="6"/>
      <c r="L17" s="6"/>
    </row>
    <row r="18" spans="1:12" ht="13.5" hidden="1" thickBot="1" x14ac:dyDescent="0.25">
      <c r="A18" s="8" t="s">
        <v>67</v>
      </c>
      <c r="B18" s="13">
        <f>+DatosIRPF!B18</f>
        <v>1</v>
      </c>
      <c r="C18" s="17"/>
      <c r="D18" s="16"/>
      <c r="E18" s="52"/>
      <c r="F18" s="63"/>
      <c r="G18" s="64"/>
      <c r="H18" s="65"/>
      <c r="I18" s="6"/>
      <c r="K18" s="6"/>
      <c r="L18" s="6"/>
    </row>
    <row r="19" spans="1:12" hidden="1" x14ac:dyDescent="0.2">
      <c r="A19" s="49" t="s">
        <v>43</v>
      </c>
      <c r="B19" s="13">
        <f>+DatosIRPF!B19</f>
        <v>0</v>
      </c>
      <c r="C19" s="499">
        <f>((+B19*1150)+(B20*(1150+1400)))/B18</f>
        <v>0</v>
      </c>
      <c r="D19" s="16"/>
      <c r="E19" s="52"/>
      <c r="F19" s="52"/>
      <c r="G19" s="52"/>
      <c r="H19" s="52"/>
      <c r="I19" s="6"/>
      <c r="K19" s="6"/>
      <c r="L19" s="6"/>
    </row>
    <row r="20" spans="1:12" ht="13.5" hidden="1" thickBot="1" x14ac:dyDescent="0.25">
      <c r="A20" s="49" t="s">
        <v>44</v>
      </c>
      <c r="B20" s="13">
        <f>+DatosIRPF!B20</f>
        <v>0</v>
      </c>
      <c r="C20" s="499"/>
      <c r="D20" s="16"/>
      <c r="E20" s="52"/>
      <c r="F20" s="52"/>
      <c r="G20" s="52"/>
      <c r="H20" s="52"/>
      <c r="I20" s="6"/>
      <c r="K20" s="6"/>
      <c r="L20" s="6"/>
    </row>
    <row r="21" spans="1:12" ht="13.5" hidden="1" thickBot="1" x14ac:dyDescent="0.25">
      <c r="A21" s="56" t="s">
        <v>45</v>
      </c>
      <c r="B21" s="13">
        <f>+DatosIRPF!B21</f>
        <v>0</v>
      </c>
      <c r="C21" s="18">
        <f>(B21*3000)/B18</f>
        <v>0</v>
      </c>
      <c r="D21" s="16"/>
      <c r="E21" s="52"/>
      <c r="F21" s="516"/>
      <c r="G21" s="517"/>
      <c r="H21" s="52"/>
      <c r="I21" s="6"/>
      <c r="K21" s="6"/>
      <c r="L21" s="6"/>
    </row>
    <row r="22" spans="1:12" hidden="1" x14ac:dyDescent="0.2">
      <c r="A22" s="56" t="s">
        <v>46</v>
      </c>
      <c r="B22" s="13">
        <f>+DatosIRPF!B22</f>
        <v>0</v>
      </c>
      <c r="C22" s="18">
        <f>+(B22*9000)/B18</f>
        <v>0</v>
      </c>
      <c r="D22" s="16"/>
      <c r="E22" s="52"/>
      <c r="F22" s="66"/>
      <c r="G22" s="67"/>
      <c r="H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F23" s="68"/>
      <c r="G23" s="69"/>
      <c r="H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F24" s="68"/>
      <c r="G24" s="69"/>
      <c r="H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>
        <f>+RESULTADO!D45</f>
        <v>29914.565859999995</v>
      </c>
      <c r="C25" s="16"/>
      <c r="D25" s="16"/>
      <c r="E25" s="52"/>
      <c r="F25" s="68"/>
      <c r="G25" s="69"/>
      <c r="H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  <c r="F26" s="68"/>
      <c r="G26" s="69"/>
      <c r="H26" s="71"/>
    </row>
    <row r="27" spans="1:12" ht="13.5" hidden="1" thickBot="1" x14ac:dyDescent="0.25">
      <c r="A27" s="500" t="s">
        <v>55</v>
      </c>
      <c r="B27" s="500"/>
      <c r="C27" s="16"/>
      <c r="D27" s="16"/>
      <c r="E27" s="52"/>
      <c r="F27" s="72"/>
      <c r="G27" s="73"/>
      <c r="H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  <c r="F28" s="52"/>
      <c r="G28" s="52"/>
      <c r="H28" s="52"/>
    </row>
    <row r="29" spans="1:12" ht="13.5" hidden="1" thickBot="1" x14ac:dyDescent="0.25">
      <c r="A29" s="48" t="s">
        <v>104</v>
      </c>
      <c r="B29" s="19">
        <v>600</v>
      </c>
      <c r="C29" s="16"/>
      <c r="D29" s="16"/>
      <c r="E29" s="52"/>
      <c r="F29" s="52"/>
      <c r="G29" s="52"/>
      <c r="H29" s="52"/>
    </row>
    <row r="30" spans="1:12" ht="13.5" hidden="1" thickBot="1" x14ac:dyDescent="0.25">
      <c r="A30" s="49" t="s">
        <v>47</v>
      </c>
      <c r="B30" s="18"/>
      <c r="C30" s="16"/>
      <c r="D30" s="16"/>
      <c r="E30" s="52"/>
      <c r="F30" s="516"/>
      <c r="G30" s="517"/>
      <c r="H30" s="52"/>
    </row>
    <row r="31" spans="1:12" hidden="1" x14ac:dyDescent="0.2">
      <c r="A31" s="49" t="s">
        <v>37</v>
      </c>
      <c r="B31" s="18"/>
      <c r="C31" s="16"/>
      <c r="D31" s="16"/>
      <c r="E31" s="52"/>
      <c r="F31" s="66"/>
      <c r="G31" s="67"/>
      <c r="H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  <c r="F32" s="68"/>
      <c r="G32" s="69"/>
      <c r="H32" s="52"/>
    </row>
    <row r="33" spans="1:8" hidden="1" x14ac:dyDescent="0.2">
      <c r="A33" s="48"/>
      <c r="B33" s="19"/>
      <c r="C33" s="16"/>
      <c r="D33" s="16"/>
      <c r="E33" s="52"/>
      <c r="F33" s="68"/>
      <c r="G33" s="69"/>
      <c r="H33" s="74"/>
    </row>
    <row r="34" spans="1:8" hidden="1" x14ac:dyDescent="0.2">
      <c r="A34" s="12" t="s">
        <v>54</v>
      </c>
      <c r="B34" s="19">
        <f>+B25-B29-B28-B30-B31-B32-B33</f>
        <v>27314.565859999995</v>
      </c>
      <c r="C34" s="5">
        <f>SUM(C5:C33)</f>
        <v>5550</v>
      </c>
      <c r="D34" s="16"/>
      <c r="E34" s="52"/>
      <c r="F34" s="68"/>
      <c r="G34" s="69"/>
      <c r="H34" s="71"/>
    </row>
    <row r="35" spans="1:8" hidden="1" x14ac:dyDescent="0.2">
      <c r="A35" s="12" t="s">
        <v>56</v>
      </c>
      <c r="B35" s="19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6359.8697579999989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  <c r="F35" s="68"/>
      <c r="G35" s="69"/>
      <c r="H35" s="71"/>
    </row>
    <row r="36" spans="1:8" ht="13.5" hidden="1" thickBot="1" x14ac:dyDescent="0.25">
      <c r="A36" s="12" t="s">
        <v>57</v>
      </c>
      <c r="B36" s="19">
        <f>+B35-C35</f>
        <v>5305.3697579999989</v>
      </c>
      <c r="C36" s="16"/>
      <c r="D36" s="16"/>
      <c r="E36" s="52"/>
      <c r="F36" s="72"/>
      <c r="G36" s="73"/>
      <c r="H36" s="71"/>
    </row>
    <row r="37" spans="1:8" hidden="1" x14ac:dyDescent="0.2">
      <c r="A37" s="12" t="s">
        <v>58</v>
      </c>
      <c r="B37" s="75">
        <f>+B36/B25</f>
        <v>0.17735071880464856</v>
      </c>
      <c r="C37" s="16"/>
      <c r="D37" s="16"/>
      <c r="E37" s="52"/>
      <c r="F37" s="52"/>
      <c r="G37" s="52"/>
      <c r="H37" s="71"/>
    </row>
    <row r="38" spans="1:8" ht="13.5" hidden="1" thickBot="1" x14ac:dyDescent="0.25">
      <c r="A38" s="16"/>
      <c r="B38" s="16"/>
      <c r="C38" s="16"/>
      <c r="D38" s="16"/>
      <c r="E38" s="52"/>
      <c r="F38" s="52"/>
      <c r="G38" s="52"/>
      <c r="H38" s="71"/>
    </row>
    <row r="39" spans="1:8" ht="13.5" hidden="1" thickBot="1" x14ac:dyDescent="0.25">
      <c r="E39" s="52"/>
      <c r="F39" s="518"/>
      <c r="G39" s="519"/>
      <c r="H39" s="76"/>
    </row>
    <row r="40" spans="1:8" ht="13.5" hidden="1" thickBot="1" x14ac:dyDescent="0.25">
      <c r="E40" s="77"/>
      <c r="F40" s="78"/>
      <c r="G40" s="79"/>
      <c r="H40" s="80"/>
    </row>
  </sheetData>
  <sheetProtection sheet="1"/>
  <mergeCells count="12">
    <mergeCell ref="A24:B24"/>
    <mergeCell ref="A27:B27"/>
    <mergeCell ref="A1:C1"/>
    <mergeCell ref="A2:C2"/>
    <mergeCell ref="A4:B4"/>
    <mergeCell ref="A10:B10"/>
    <mergeCell ref="A17:B17"/>
    <mergeCell ref="F12:H12"/>
    <mergeCell ref="F21:G21"/>
    <mergeCell ref="F30:G30"/>
    <mergeCell ref="F39:G39"/>
    <mergeCell ref="C19:C20"/>
  </mergeCells>
  <dataValidations disablePrompts="1" count="2">
    <dataValidation type="list" allowBlank="1" showInputMessage="1" showErrorMessage="1" sqref="B11:B15" xr:uid="{00000000-0002-0000-0500-000000000000}">
      <formula1>$J$1:$J$2</formula1>
    </dataValidation>
    <dataValidation type="list" allowBlank="1" showInputMessage="1" showErrorMessage="1" sqref="B18:B22" xr:uid="{00000000-0002-0000-0500-000001000000}">
      <formula1>$J$4:$J$10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AX91"/>
  <sheetViews>
    <sheetView topLeftCell="A22" workbookViewId="0">
      <selection activeCell="AZ30" sqref="AZ30"/>
    </sheetView>
    <sheetView tabSelected="1" topLeftCell="XFD1048576" workbookViewId="1">
      <pane xSplit="14265" ySplit="6075" topLeftCell="XFD1048576"/>
      <selection pane="topRight" activeCell="O1" sqref="O1"/>
      <selection pane="bottomLeft" activeCell="A24" sqref="A24"/>
      <selection pane="bottomRight" activeCell="O24" sqref="O24"/>
    </sheetView>
  </sheetViews>
  <sheetFormatPr baseColWidth="10" defaultRowHeight="12.75" x14ac:dyDescent="0.2"/>
  <cols>
    <col min="1" max="1" width="3" style="1" bestFit="1" customWidth="1"/>
    <col min="2" max="2" width="3.28515625" style="1" bestFit="1" customWidth="1"/>
    <col min="3" max="3" width="38.140625" style="1" bestFit="1" customWidth="1"/>
    <col min="4" max="4" width="9.28515625" style="1" customWidth="1"/>
    <col min="5" max="5" width="10.140625" style="1" customWidth="1"/>
    <col min="6" max="6" width="9.42578125" style="1" customWidth="1"/>
    <col min="7" max="7" width="9.28515625" style="1" customWidth="1"/>
    <col min="8" max="8" width="9.85546875" style="1" customWidth="1"/>
    <col min="9" max="9" width="9.7109375" style="1" customWidth="1"/>
    <col min="10" max="10" width="8.28515625" style="1" bestFit="1" customWidth="1"/>
    <col min="11" max="11" width="10.140625" style="1" customWidth="1"/>
    <col min="12" max="12" width="9.28515625" style="1" customWidth="1"/>
    <col min="13" max="13" width="8.85546875" style="1" bestFit="1" customWidth="1"/>
    <col min="14" max="14" width="8.140625" style="1" customWidth="1"/>
    <col min="15" max="15" width="10.28515625" style="1" hidden="1" customWidth="1"/>
    <col min="16" max="16" width="9.7109375" style="1" hidden="1" customWidth="1"/>
    <col min="17" max="20" width="8.140625" style="1" hidden="1" customWidth="1"/>
    <col min="21" max="21" width="7.28515625" style="1" hidden="1" customWidth="1"/>
    <col min="22" max="23" width="8" style="1" hidden="1" customWidth="1"/>
    <col min="24" max="24" width="11.42578125" style="1" hidden="1" customWidth="1"/>
    <col min="25" max="25" width="7.5703125" style="1" hidden="1" customWidth="1"/>
    <col min="26" max="26" width="6.5703125" style="1" hidden="1" customWidth="1"/>
    <col min="27" max="27" width="3" style="1" hidden="1" customWidth="1"/>
    <col min="28" max="28" width="3.28515625" style="1" hidden="1" customWidth="1"/>
    <col min="29" max="30" width="6.5703125" style="1" hidden="1" customWidth="1"/>
    <col min="31" max="31" width="12.5703125" style="1" hidden="1" customWidth="1"/>
    <col min="32" max="32" width="6.7109375" style="1" hidden="1" customWidth="1"/>
    <col min="33" max="34" width="7" style="1" hidden="1" customWidth="1"/>
    <col min="35" max="35" width="7.85546875" style="1" hidden="1" customWidth="1"/>
    <col min="36" max="36" width="6.28515625" style="1" hidden="1" customWidth="1"/>
    <col min="37" max="40" width="7" style="1" hidden="1" customWidth="1"/>
    <col min="41" max="42" width="7.85546875" style="1" hidden="1" customWidth="1"/>
    <col min="43" max="43" width="6.7109375" style="1" hidden="1" customWidth="1"/>
    <col min="44" max="44" width="10.7109375" style="1" bestFit="1" customWidth="1"/>
    <col min="45" max="45" width="6.7109375" style="1" hidden="1" customWidth="1"/>
    <col min="46" max="46" width="11.42578125" style="1" hidden="1" customWidth="1"/>
    <col min="47" max="47" width="80.5703125" style="1" bestFit="1" customWidth="1"/>
    <col min="48" max="16384" width="11.42578125" style="1"/>
  </cols>
  <sheetData>
    <row r="1" spans="1:46" ht="18" hidden="1" x14ac:dyDescent="0.25">
      <c r="A1" s="367"/>
      <c r="B1" s="520" t="s">
        <v>332</v>
      </c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</row>
    <row r="2" spans="1:46" hidden="1" x14ac:dyDescent="0.2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41">
        <v>1</v>
      </c>
      <c r="M2" s="341">
        <v>1</v>
      </c>
      <c r="N2" s="341">
        <v>2</v>
      </c>
      <c r="O2" s="341">
        <v>2</v>
      </c>
      <c r="P2" s="341">
        <v>3</v>
      </c>
      <c r="Q2" s="341">
        <v>3</v>
      </c>
      <c r="R2" s="341">
        <v>4</v>
      </c>
      <c r="S2" s="341">
        <v>4</v>
      </c>
      <c r="T2" s="341">
        <v>5</v>
      </c>
      <c r="U2" s="341">
        <v>5</v>
      </c>
      <c r="V2" s="506" t="s">
        <v>162</v>
      </c>
      <c r="W2" s="506"/>
      <c r="X2" s="506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</row>
    <row r="3" spans="1:46" ht="36" hidden="1" x14ac:dyDescent="0.2">
      <c r="A3" s="367"/>
      <c r="B3" s="367"/>
      <c r="C3" s="367"/>
      <c r="D3" s="206" t="s">
        <v>22</v>
      </c>
      <c r="E3" s="206" t="s">
        <v>139</v>
      </c>
      <c r="F3" s="207" t="s">
        <v>140</v>
      </c>
      <c r="G3" s="207" t="s">
        <v>145</v>
      </c>
      <c r="H3" s="208" t="s">
        <v>141</v>
      </c>
      <c r="I3" s="208" t="s">
        <v>146</v>
      </c>
      <c r="J3" s="209" t="s">
        <v>142</v>
      </c>
      <c r="K3" s="210" t="s">
        <v>147</v>
      </c>
      <c r="L3" s="211" t="s">
        <v>148</v>
      </c>
      <c r="M3" s="211" t="s">
        <v>153</v>
      </c>
      <c r="N3" s="211" t="s">
        <v>149</v>
      </c>
      <c r="O3" s="211" t="s">
        <v>154</v>
      </c>
      <c r="P3" s="211" t="s">
        <v>150</v>
      </c>
      <c r="Q3" s="211" t="s">
        <v>155</v>
      </c>
      <c r="R3" s="211" t="s">
        <v>151</v>
      </c>
      <c r="S3" s="211" t="s">
        <v>156</v>
      </c>
      <c r="T3" s="211" t="s">
        <v>152</v>
      </c>
      <c r="U3" s="211" t="s">
        <v>157</v>
      </c>
      <c r="V3" s="212" t="s">
        <v>25</v>
      </c>
      <c r="W3" s="213" t="s">
        <v>23</v>
      </c>
      <c r="X3" s="214" t="s">
        <v>24</v>
      </c>
      <c r="Y3" s="215" t="s">
        <v>26</v>
      </c>
      <c r="Z3" s="216" t="s">
        <v>27</v>
      </c>
      <c r="AA3" s="217"/>
      <c r="AB3" s="217"/>
      <c r="AC3" s="218" t="s">
        <v>102</v>
      </c>
      <c r="AD3" s="218" t="s">
        <v>10</v>
      </c>
      <c r="AE3" s="91" t="s">
        <v>109</v>
      </c>
      <c r="AF3" s="367"/>
      <c r="AG3" s="95" t="s">
        <v>170</v>
      </c>
      <c r="AH3" s="95" t="s">
        <v>171</v>
      </c>
      <c r="AI3" s="95" t="s">
        <v>172</v>
      </c>
      <c r="AJ3" s="95" t="s">
        <v>163</v>
      </c>
      <c r="AK3" s="95" t="s">
        <v>164</v>
      </c>
      <c r="AL3" s="95" t="s">
        <v>165</v>
      </c>
      <c r="AM3" s="95" t="s">
        <v>166</v>
      </c>
      <c r="AN3" s="95" t="s">
        <v>167</v>
      </c>
      <c r="AO3" s="95" t="s">
        <v>169</v>
      </c>
      <c r="AP3" s="95" t="s">
        <v>168</v>
      </c>
      <c r="AR3" s="95" t="s">
        <v>194</v>
      </c>
      <c r="AS3" s="367"/>
      <c r="AT3" s="367"/>
    </row>
    <row r="4" spans="1:46" hidden="1" x14ac:dyDescent="0.2">
      <c r="A4" s="219" t="s">
        <v>1</v>
      </c>
      <c r="B4" s="219">
        <v>26</v>
      </c>
      <c r="C4" s="174" t="s">
        <v>144</v>
      </c>
      <c r="D4" s="342">
        <f>+D26</f>
        <v>1214.3900000000001</v>
      </c>
      <c r="E4" s="342">
        <f>+D27</f>
        <v>749.38</v>
      </c>
      <c r="F4" s="342">
        <f>+D28</f>
        <v>46.74</v>
      </c>
      <c r="G4" s="342">
        <f>+D29</f>
        <v>28.85</v>
      </c>
      <c r="H4" s="342">
        <f>+D30</f>
        <v>775.08</v>
      </c>
      <c r="I4" s="220">
        <f>+H4</f>
        <v>775.08</v>
      </c>
      <c r="J4" s="342">
        <f>+D32</f>
        <v>1515.04</v>
      </c>
      <c r="K4" s="317">
        <f>+J4*78%</f>
        <v>1181.7311999999999</v>
      </c>
      <c r="L4" s="343">
        <f>+D34</f>
        <v>55</v>
      </c>
      <c r="M4" s="344">
        <f>+D35</f>
        <v>42.9</v>
      </c>
      <c r="N4" s="343">
        <f>+D36</f>
        <v>119</v>
      </c>
      <c r="O4" s="344">
        <f>+D37</f>
        <v>92.820000000000007</v>
      </c>
      <c r="P4" s="343">
        <f>+D38</f>
        <v>239</v>
      </c>
      <c r="Q4" s="344">
        <f>+D39</f>
        <v>186.42000000000002</v>
      </c>
      <c r="R4" s="343">
        <f>+D40</f>
        <v>383</v>
      </c>
      <c r="S4" s="344">
        <f>+D41</f>
        <v>298.74</v>
      </c>
      <c r="T4" s="343">
        <f>+D42</f>
        <v>453</v>
      </c>
      <c r="U4" s="344">
        <f>+D43</f>
        <v>353.34000000000003</v>
      </c>
      <c r="V4" s="342">
        <f>+D44</f>
        <v>178.29</v>
      </c>
      <c r="W4" s="342">
        <f>+D45</f>
        <v>594.05999999999995</v>
      </c>
      <c r="X4" s="342">
        <f>+D46</f>
        <v>41.72</v>
      </c>
      <c r="Y4" s="345">
        <f>+D47</f>
        <v>49.44</v>
      </c>
      <c r="Z4" s="346">
        <f>+D48</f>
        <v>112.91</v>
      </c>
      <c r="AA4" s="205">
        <f>IF([2]Datos!E$11=[2]Retribuciones!C4,[2]Retribuciones!AD4,0)</f>
        <v>0</v>
      </c>
      <c r="AB4" s="205" t="str">
        <f t="shared" ref="AB4:AB12" si="0">IF(AA4&gt;0,A4,"")</f>
        <v/>
      </c>
      <c r="AC4" s="221">
        <f>+P51</f>
        <v>4</v>
      </c>
      <c r="AD4" s="222">
        <f>+P50</f>
        <v>9</v>
      </c>
      <c r="AE4" s="94" t="str">
        <f>+Datos!S17</f>
        <v>Isla Capitalina</v>
      </c>
      <c r="AF4" s="367"/>
      <c r="AG4" s="92">
        <f t="shared" ref="AG4:AG8" si="1">+D4+((F$15*AA$15)+(F4*AD4)+(F$16*AA$16)+(F$17*AA$17)+(F$18*AA$18)+(F$19*AA$19))+H4+J4+(IF(AC4=L$2,L4,IF(AC4=N$2,N4,IF(AC4=P$2,P4,IF(AC4=R$2,R4,IF(AC4&gt;R$2,T4,0))))))+(IF(AE4=V$3,V4,W4+(X$15*AA$15)+(X$16*AA$16)+(X$17*AA$17)+(X$18*AA$18)+(X$19*AA$19)))</f>
        <v>4486.46</v>
      </c>
      <c r="AH4" s="93">
        <f t="shared" ref="AH4:AH8" si="2">+E4+(G4*AD4)+(G$15*AA$15)+(G$16*AA$16)+(G$17*AA$17)+(G$18*AA$18)+(G$19*AA$19)+(IF(AC4=M$2,M4,IF(AC4=O$2,O4,IF(AC4=Q$2,Q4,IF(AC4=S$2,S4,IF(AC4&gt;S$2,U4,0))))))+I4+K4</f>
        <v>3264.5811999999996</v>
      </c>
      <c r="AI4" s="92">
        <f>+(AG4*12)+(AH4*2)</f>
        <v>60366.682400000005</v>
      </c>
      <c r="AJ4" s="223">
        <f>+'IRPF Inspect'!B37</f>
        <v>0.25513576157698542</v>
      </c>
      <c r="AK4" s="92">
        <f t="shared" ref="AK4:AK13" si="3">+AG4*AJ4</f>
        <v>1144.656388884682</v>
      </c>
      <c r="AL4" s="224">
        <f t="shared" ref="AL4:AL13" si="4">+AG4-Y4-Z4-AK4</f>
        <v>3179.4536111153184</v>
      </c>
      <c r="AM4" s="224">
        <f t="shared" ref="AM4:AM12" si="5">(+AG4+AH4)*AJ4</f>
        <v>1977.5677995765909</v>
      </c>
      <c r="AN4" s="224">
        <f t="shared" ref="AN4:AN12" si="6">(+AG4+AH4)-Y4-Y4-Z4-Z4-AM4</f>
        <v>5448.7734004234098</v>
      </c>
      <c r="AO4" s="224">
        <f t="shared" ref="AO4:AO13" si="7">+AI4*AJ4</f>
        <v>15401.699488000004</v>
      </c>
      <c r="AP4" s="224">
        <f>+AI4-((Y4+Z4)*14)-AO4</f>
        <v>42692.082911999998</v>
      </c>
      <c r="AR4" s="224">
        <f t="shared" ref="AR4:AR12" si="8">+((D4+(F$19*AA$19)+(F$18*AA$18))/2)</f>
        <v>607.19500000000005</v>
      </c>
      <c r="AS4" s="367"/>
      <c r="AT4" s="367"/>
    </row>
    <row r="5" spans="1:46" hidden="1" x14ac:dyDescent="0.2">
      <c r="A5" s="219" t="s">
        <v>1</v>
      </c>
      <c r="B5" s="219">
        <v>26</v>
      </c>
      <c r="C5" s="174" t="s">
        <v>143</v>
      </c>
      <c r="D5" s="220">
        <f>+D4</f>
        <v>1214.3900000000001</v>
      </c>
      <c r="E5" s="220">
        <f>+E4</f>
        <v>749.38</v>
      </c>
      <c r="F5" s="220">
        <f>+F4</f>
        <v>46.74</v>
      </c>
      <c r="G5" s="220">
        <f>+G4</f>
        <v>28.85</v>
      </c>
      <c r="H5" s="220">
        <f>+H4</f>
        <v>775.08</v>
      </c>
      <c r="I5" s="220">
        <f t="shared" ref="I5:I13" si="9">+H5</f>
        <v>775.08</v>
      </c>
      <c r="J5" s="342">
        <f>+E32</f>
        <v>725.78</v>
      </c>
      <c r="K5" s="317">
        <f t="shared" ref="K5:K13" si="10">+J5*78%</f>
        <v>566.10839999999996</v>
      </c>
      <c r="L5" s="225">
        <f>+L4</f>
        <v>55</v>
      </c>
      <c r="M5" s="225">
        <f t="shared" ref="M5:Z13" si="11">+M4</f>
        <v>42.9</v>
      </c>
      <c r="N5" s="225">
        <f t="shared" si="11"/>
        <v>119</v>
      </c>
      <c r="O5" s="225">
        <f t="shared" si="11"/>
        <v>92.820000000000007</v>
      </c>
      <c r="P5" s="225">
        <f t="shared" si="11"/>
        <v>239</v>
      </c>
      <c r="Q5" s="225">
        <f t="shared" si="11"/>
        <v>186.42000000000002</v>
      </c>
      <c r="R5" s="225">
        <f t="shared" si="11"/>
        <v>383</v>
      </c>
      <c r="S5" s="225">
        <f t="shared" si="11"/>
        <v>298.74</v>
      </c>
      <c r="T5" s="225">
        <f t="shared" si="11"/>
        <v>453</v>
      </c>
      <c r="U5" s="225">
        <f t="shared" si="11"/>
        <v>353.34000000000003</v>
      </c>
      <c r="V5" s="342">
        <f>+E44</f>
        <v>160.51999999999998</v>
      </c>
      <c r="W5" s="342">
        <f>+E45</f>
        <v>534.67999999999995</v>
      </c>
      <c r="X5" s="342">
        <f>+E46</f>
        <v>37.53</v>
      </c>
      <c r="Y5" s="225">
        <f t="shared" ref="Y5:Z9" si="12">+Y4</f>
        <v>49.44</v>
      </c>
      <c r="Z5" s="225">
        <f t="shared" si="12"/>
        <v>112.91</v>
      </c>
      <c r="AA5" s="205">
        <f>IF([2]Datos!E$11=[2]Retribuciones!C5,[2]Retribuciones!AD5,0)</f>
        <v>0</v>
      </c>
      <c r="AB5" s="205" t="str">
        <f t="shared" si="0"/>
        <v/>
      </c>
      <c r="AC5" s="221">
        <f>+AC4</f>
        <v>4</v>
      </c>
      <c r="AD5" s="222">
        <f>+AD4</f>
        <v>9</v>
      </c>
      <c r="AE5" s="94" t="str">
        <f>+AE4</f>
        <v>Isla Capitalina</v>
      </c>
      <c r="AF5" s="367"/>
      <c r="AG5" s="92">
        <f t="shared" si="1"/>
        <v>3679.43</v>
      </c>
      <c r="AH5" s="93">
        <f t="shared" si="2"/>
        <v>2648.9584</v>
      </c>
      <c r="AI5" s="92">
        <f t="shared" ref="AI5:AI12" si="13">+(AG5*12)+(AH5*2)</f>
        <v>49451.076799999995</v>
      </c>
      <c r="AJ5" s="223">
        <f>+'IRPF Catred'!B37</f>
        <v>0.22978115242982938</v>
      </c>
      <c r="AK5" s="92">
        <f t="shared" si="3"/>
        <v>845.46366568488713</v>
      </c>
      <c r="AL5" s="224">
        <f t="shared" si="4"/>
        <v>2671.6163343151129</v>
      </c>
      <c r="AM5" s="224">
        <f t="shared" si="5"/>
        <v>1454.144379575564</v>
      </c>
      <c r="AN5" s="224">
        <f t="shared" si="6"/>
        <v>4549.5440204244369</v>
      </c>
      <c r="AO5" s="224">
        <f t="shared" si="7"/>
        <v>11362.925415999998</v>
      </c>
      <c r="AP5" s="224">
        <f t="shared" ref="AP5:AP13" si="14">+AI5-((Y5+Z5)*14)-AO5</f>
        <v>35815.251383999996</v>
      </c>
      <c r="AR5" s="224">
        <f t="shared" si="8"/>
        <v>607.19500000000005</v>
      </c>
      <c r="AS5" s="367"/>
      <c r="AT5" s="367"/>
    </row>
    <row r="6" spans="1:46" hidden="1" x14ac:dyDescent="0.2">
      <c r="A6" s="219" t="s">
        <v>1</v>
      </c>
      <c r="B6" s="219">
        <v>24</v>
      </c>
      <c r="C6" s="174" t="s">
        <v>19</v>
      </c>
      <c r="D6" s="220">
        <f t="shared" ref="D6:G9" si="15">+D5</f>
        <v>1214.3900000000001</v>
      </c>
      <c r="E6" s="220">
        <f t="shared" si="15"/>
        <v>749.38</v>
      </c>
      <c r="F6" s="220">
        <f t="shared" si="15"/>
        <v>46.74</v>
      </c>
      <c r="G6" s="220">
        <f t="shared" si="15"/>
        <v>28.85</v>
      </c>
      <c r="H6" s="342">
        <f>+F30</f>
        <v>647.12</v>
      </c>
      <c r="I6" s="220">
        <f t="shared" si="9"/>
        <v>647.12</v>
      </c>
      <c r="J6" s="342">
        <f>+F32</f>
        <v>672.9</v>
      </c>
      <c r="K6" s="317">
        <f t="shared" si="10"/>
        <v>524.86199999999997</v>
      </c>
      <c r="L6" s="225">
        <f t="shared" ref="L6:L13" si="16">+L5</f>
        <v>55</v>
      </c>
      <c r="M6" s="225">
        <f t="shared" si="11"/>
        <v>42.9</v>
      </c>
      <c r="N6" s="225">
        <f t="shared" si="11"/>
        <v>119</v>
      </c>
      <c r="O6" s="225">
        <f t="shared" si="11"/>
        <v>92.820000000000007</v>
      </c>
      <c r="P6" s="225">
        <f t="shared" si="11"/>
        <v>239</v>
      </c>
      <c r="Q6" s="225">
        <f t="shared" si="11"/>
        <v>186.42000000000002</v>
      </c>
      <c r="R6" s="225">
        <f t="shared" si="11"/>
        <v>383</v>
      </c>
      <c r="S6" s="225">
        <f t="shared" si="11"/>
        <v>298.74</v>
      </c>
      <c r="T6" s="225">
        <f t="shared" si="11"/>
        <v>453</v>
      </c>
      <c r="U6" s="225">
        <f t="shared" si="11"/>
        <v>353.34000000000003</v>
      </c>
      <c r="V6" s="342">
        <f>+F44</f>
        <v>142.66999999999999</v>
      </c>
      <c r="W6" s="342">
        <f>+F45</f>
        <v>475.26</v>
      </c>
      <c r="X6" s="342">
        <f>+F46</f>
        <v>33.419999999999995</v>
      </c>
      <c r="Y6" s="225">
        <f t="shared" si="12"/>
        <v>49.44</v>
      </c>
      <c r="Z6" s="225">
        <f t="shared" si="12"/>
        <v>112.91</v>
      </c>
      <c r="AA6" s="205">
        <f>IF([2]Datos!E$11=[2]Retribuciones!C6,[2]Retribuciones!AD6,0)</f>
        <v>0</v>
      </c>
      <c r="AB6" s="205" t="str">
        <f t="shared" si="0"/>
        <v/>
      </c>
      <c r="AC6" s="221">
        <f t="shared" ref="AC6:AE19" si="17">+AC5</f>
        <v>4</v>
      </c>
      <c r="AD6" s="222">
        <f t="shared" si="17"/>
        <v>9</v>
      </c>
      <c r="AE6" s="94" t="str">
        <f t="shared" si="17"/>
        <v>Isla Capitalina</v>
      </c>
      <c r="AF6" s="367"/>
      <c r="AG6" s="92">
        <f t="shared" si="1"/>
        <v>3480.7400000000002</v>
      </c>
      <c r="AH6" s="93">
        <f t="shared" si="2"/>
        <v>2479.752</v>
      </c>
      <c r="AI6" s="92">
        <f t="shared" si="13"/>
        <v>46728.384000000005</v>
      </c>
      <c r="AJ6" s="223">
        <f>+'IRPF Secund'!B37</f>
        <v>0.22161111071163944</v>
      </c>
      <c r="AK6" s="92">
        <f t="shared" si="3"/>
        <v>771.37065749843191</v>
      </c>
      <c r="AL6" s="224">
        <f t="shared" si="4"/>
        <v>2547.0193425015686</v>
      </c>
      <c r="AM6" s="224">
        <f t="shared" si="5"/>
        <v>1320.9112525078413</v>
      </c>
      <c r="AN6" s="224">
        <f t="shared" si="6"/>
        <v>4314.8807474921596</v>
      </c>
      <c r="AO6" s="224">
        <f t="shared" si="7"/>
        <v>10355.529080000002</v>
      </c>
      <c r="AP6" s="224">
        <f t="shared" si="14"/>
        <v>34099.954920000004</v>
      </c>
      <c r="AR6" s="224">
        <f t="shared" si="8"/>
        <v>607.19500000000005</v>
      </c>
      <c r="AS6" s="367"/>
      <c r="AT6" s="367"/>
    </row>
    <row r="7" spans="1:46" hidden="1" x14ac:dyDescent="0.2">
      <c r="A7" s="219" t="s">
        <v>1</v>
      </c>
      <c r="B7" s="219">
        <v>24</v>
      </c>
      <c r="C7" s="174" t="s">
        <v>18</v>
      </c>
      <c r="D7" s="220">
        <f t="shared" si="15"/>
        <v>1214.3900000000001</v>
      </c>
      <c r="E7" s="220">
        <f t="shared" si="15"/>
        <v>749.38</v>
      </c>
      <c r="F7" s="220">
        <f t="shared" si="15"/>
        <v>46.74</v>
      </c>
      <c r="G7" s="220">
        <f t="shared" si="15"/>
        <v>28.85</v>
      </c>
      <c r="H7" s="220">
        <f>+H6</f>
        <v>647.12</v>
      </c>
      <c r="I7" s="220">
        <f t="shared" si="9"/>
        <v>647.12</v>
      </c>
      <c r="J7" s="220">
        <f t="shared" ref="J7:J9" si="18">+J6</f>
        <v>672.9</v>
      </c>
      <c r="K7" s="317">
        <f t="shared" si="10"/>
        <v>524.86199999999997</v>
      </c>
      <c r="L7" s="225">
        <f t="shared" si="16"/>
        <v>55</v>
      </c>
      <c r="M7" s="225">
        <f t="shared" si="11"/>
        <v>42.9</v>
      </c>
      <c r="N7" s="225">
        <f t="shared" si="11"/>
        <v>119</v>
      </c>
      <c r="O7" s="225">
        <f t="shared" si="11"/>
        <v>92.820000000000007</v>
      </c>
      <c r="P7" s="225">
        <f t="shared" si="11"/>
        <v>239</v>
      </c>
      <c r="Q7" s="225">
        <f t="shared" si="11"/>
        <v>186.42000000000002</v>
      </c>
      <c r="R7" s="225">
        <f t="shared" si="11"/>
        <v>383</v>
      </c>
      <c r="S7" s="225">
        <f t="shared" si="11"/>
        <v>298.74</v>
      </c>
      <c r="T7" s="225">
        <f t="shared" si="11"/>
        <v>453</v>
      </c>
      <c r="U7" s="225">
        <f t="shared" si="11"/>
        <v>353.34000000000003</v>
      </c>
      <c r="V7" s="225">
        <f t="shared" si="11"/>
        <v>142.66999999999999</v>
      </c>
      <c r="W7" s="225">
        <f t="shared" si="11"/>
        <v>475.26</v>
      </c>
      <c r="X7" s="225">
        <f t="shared" si="11"/>
        <v>33.419999999999995</v>
      </c>
      <c r="Y7" s="225">
        <f t="shared" si="12"/>
        <v>49.44</v>
      </c>
      <c r="Z7" s="225">
        <f t="shared" si="12"/>
        <v>112.91</v>
      </c>
      <c r="AA7" s="205">
        <f>IF([2]Datos!E$11=[2]Retribuciones!C7,[2]Retribuciones!AD7,0)</f>
        <v>0</v>
      </c>
      <c r="AB7" s="205" t="str">
        <f t="shared" si="0"/>
        <v/>
      </c>
      <c r="AC7" s="221">
        <f t="shared" si="17"/>
        <v>4</v>
      </c>
      <c r="AD7" s="222">
        <f t="shared" si="17"/>
        <v>9</v>
      </c>
      <c r="AE7" s="94" t="str">
        <f t="shared" si="17"/>
        <v>Isla Capitalina</v>
      </c>
      <c r="AF7" s="367"/>
      <c r="AG7" s="92">
        <f t="shared" si="1"/>
        <v>3480.7400000000002</v>
      </c>
      <c r="AH7" s="93">
        <f t="shared" si="2"/>
        <v>2479.752</v>
      </c>
      <c r="AI7" s="92">
        <f t="shared" si="13"/>
        <v>46728.384000000005</v>
      </c>
      <c r="AJ7" s="223">
        <f>+'IRPF Secund'!B37</f>
        <v>0.22161111071163944</v>
      </c>
      <c r="AK7" s="92">
        <f t="shared" si="3"/>
        <v>771.37065749843191</v>
      </c>
      <c r="AL7" s="224">
        <f t="shared" si="4"/>
        <v>2547.0193425015686</v>
      </c>
      <c r="AM7" s="224">
        <f t="shared" si="5"/>
        <v>1320.9112525078413</v>
      </c>
      <c r="AN7" s="224">
        <f t="shared" si="6"/>
        <v>4314.8807474921596</v>
      </c>
      <c r="AO7" s="224">
        <f t="shared" si="7"/>
        <v>10355.529080000002</v>
      </c>
      <c r="AP7" s="224">
        <f t="shared" si="14"/>
        <v>34099.954920000004</v>
      </c>
      <c r="AR7" s="224">
        <f t="shared" si="8"/>
        <v>607.19500000000005</v>
      </c>
      <c r="AS7" s="367"/>
      <c r="AT7" s="367"/>
    </row>
    <row r="8" spans="1:46" hidden="1" x14ac:dyDescent="0.2">
      <c r="A8" s="219" t="s">
        <v>1</v>
      </c>
      <c r="B8" s="219">
        <v>24</v>
      </c>
      <c r="C8" s="174" t="s">
        <v>17</v>
      </c>
      <c r="D8" s="220">
        <f t="shared" si="15"/>
        <v>1214.3900000000001</v>
      </c>
      <c r="E8" s="220">
        <f t="shared" si="15"/>
        <v>749.38</v>
      </c>
      <c r="F8" s="220">
        <f t="shared" si="15"/>
        <v>46.74</v>
      </c>
      <c r="G8" s="220">
        <f t="shared" si="15"/>
        <v>28.85</v>
      </c>
      <c r="H8" s="220">
        <f>+H7</f>
        <v>647.12</v>
      </c>
      <c r="I8" s="220">
        <f t="shared" si="9"/>
        <v>647.12</v>
      </c>
      <c r="J8" s="220">
        <f t="shared" si="18"/>
        <v>672.9</v>
      </c>
      <c r="K8" s="317">
        <f t="shared" si="10"/>
        <v>524.86199999999997</v>
      </c>
      <c r="L8" s="225">
        <f t="shared" si="16"/>
        <v>55</v>
      </c>
      <c r="M8" s="225">
        <f t="shared" si="11"/>
        <v>42.9</v>
      </c>
      <c r="N8" s="225">
        <f t="shared" si="11"/>
        <v>119</v>
      </c>
      <c r="O8" s="225">
        <f t="shared" si="11"/>
        <v>92.820000000000007</v>
      </c>
      <c r="P8" s="225">
        <f t="shared" si="11"/>
        <v>239</v>
      </c>
      <c r="Q8" s="225">
        <f t="shared" si="11"/>
        <v>186.42000000000002</v>
      </c>
      <c r="R8" s="225">
        <f t="shared" si="11"/>
        <v>383</v>
      </c>
      <c r="S8" s="225">
        <f t="shared" si="11"/>
        <v>298.74</v>
      </c>
      <c r="T8" s="225">
        <f t="shared" si="11"/>
        <v>453</v>
      </c>
      <c r="U8" s="225">
        <f t="shared" si="11"/>
        <v>353.34000000000003</v>
      </c>
      <c r="V8" s="225">
        <f t="shared" si="11"/>
        <v>142.66999999999999</v>
      </c>
      <c r="W8" s="225">
        <f t="shared" si="11"/>
        <v>475.26</v>
      </c>
      <c r="X8" s="225">
        <f t="shared" si="11"/>
        <v>33.419999999999995</v>
      </c>
      <c r="Y8" s="225">
        <f t="shared" si="12"/>
        <v>49.44</v>
      </c>
      <c r="Z8" s="225">
        <f t="shared" si="12"/>
        <v>112.91</v>
      </c>
      <c r="AA8" s="205">
        <f>IF([2]Datos!E$11=[2]Retribuciones!C8,[2]Retribuciones!AD8,0)</f>
        <v>0</v>
      </c>
      <c r="AB8" s="205" t="str">
        <f t="shared" si="0"/>
        <v/>
      </c>
      <c r="AC8" s="221">
        <f t="shared" si="17"/>
        <v>4</v>
      </c>
      <c r="AD8" s="222">
        <f t="shared" si="17"/>
        <v>9</v>
      </c>
      <c r="AE8" s="94" t="str">
        <f t="shared" si="17"/>
        <v>Isla Capitalina</v>
      </c>
      <c r="AF8" s="367"/>
      <c r="AG8" s="92">
        <f t="shared" si="1"/>
        <v>3480.7400000000002</v>
      </c>
      <c r="AH8" s="93">
        <f t="shared" si="2"/>
        <v>2479.752</v>
      </c>
      <c r="AI8" s="92">
        <f t="shared" si="13"/>
        <v>46728.384000000005</v>
      </c>
      <c r="AJ8" s="223">
        <f>+'IRPF Secund'!B37</f>
        <v>0.22161111071163944</v>
      </c>
      <c r="AK8" s="92">
        <f t="shared" si="3"/>
        <v>771.37065749843191</v>
      </c>
      <c r="AL8" s="224">
        <f t="shared" si="4"/>
        <v>2547.0193425015686</v>
      </c>
      <c r="AM8" s="224">
        <f t="shared" si="5"/>
        <v>1320.9112525078413</v>
      </c>
      <c r="AN8" s="224">
        <f t="shared" si="6"/>
        <v>4314.8807474921596</v>
      </c>
      <c r="AO8" s="224">
        <f t="shared" si="7"/>
        <v>10355.529080000002</v>
      </c>
      <c r="AP8" s="224">
        <f t="shared" si="14"/>
        <v>34099.954920000004</v>
      </c>
      <c r="AR8" s="224">
        <f t="shared" si="8"/>
        <v>607.19500000000005</v>
      </c>
      <c r="AS8" s="367"/>
      <c r="AT8" s="367"/>
    </row>
    <row r="9" spans="1:46" hidden="1" x14ac:dyDescent="0.2">
      <c r="A9" s="219" t="s">
        <v>1</v>
      </c>
      <c r="B9" s="219">
        <v>24</v>
      </c>
      <c r="C9" s="174" t="s">
        <v>21</v>
      </c>
      <c r="D9" s="220">
        <f t="shared" si="15"/>
        <v>1214.3900000000001</v>
      </c>
      <c r="E9" s="220">
        <f t="shared" si="15"/>
        <v>749.38</v>
      </c>
      <c r="F9" s="220">
        <f t="shared" si="15"/>
        <v>46.74</v>
      </c>
      <c r="G9" s="220">
        <f t="shared" si="15"/>
        <v>28.85</v>
      </c>
      <c r="H9" s="220">
        <f>+H8</f>
        <v>647.12</v>
      </c>
      <c r="I9" s="220">
        <f t="shared" si="9"/>
        <v>647.12</v>
      </c>
      <c r="J9" s="220">
        <f t="shared" si="18"/>
        <v>672.9</v>
      </c>
      <c r="K9" s="317">
        <f t="shared" si="10"/>
        <v>524.86199999999997</v>
      </c>
      <c r="L9" s="225">
        <f t="shared" si="16"/>
        <v>55</v>
      </c>
      <c r="M9" s="225">
        <f t="shared" si="11"/>
        <v>42.9</v>
      </c>
      <c r="N9" s="225">
        <f t="shared" si="11"/>
        <v>119</v>
      </c>
      <c r="O9" s="225">
        <f t="shared" si="11"/>
        <v>92.820000000000007</v>
      </c>
      <c r="P9" s="225">
        <f t="shared" si="11"/>
        <v>239</v>
      </c>
      <c r="Q9" s="225">
        <f t="shared" si="11"/>
        <v>186.42000000000002</v>
      </c>
      <c r="R9" s="225">
        <f t="shared" si="11"/>
        <v>383</v>
      </c>
      <c r="S9" s="225">
        <f t="shared" si="11"/>
        <v>298.74</v>
      </c>
      <c r="T9" s="225">
        <f t="shared" si="11"/>
        <v>453</v>
      </c>
      <c r="U9" s="225">
        <f t="shared" si="11"/>
        <v>353.34000000000003</v>
      </c>
      <c r="V9" s="225">
        <f t="shared" si="11"/>
        <v>142.66999999999999</v>
      </c>
      <c r="W9" s="225">
        <f t="shared" si="11"/>
        <v>475.26</v>
      </c>
      <c r="X9" s="225">
        <f t="shared" si="11"/>
        <v>33.419999999999995</v>
      </c>
      <c r="Y9" s="225">
        <f t="shared" si="12"/>
        <v>49.44</v>
      </c>
      <c r="Z9" s="225">
        <f t="shared" si="12"/>
        <v>112.91</v>
      </c>
      <c r="AA9" s="205">
        <f>IF([2]Datos!E$11=[2]Retribuciones!C9,[2]Retribuciones!AD9,0)</f>
        <v>10</v>
      </c>
      <c r="AB9" s="205" t="str">
        <f t="shared" si="0"/>
        <v>A1</v>
      </c>
      <c r="AC9" s="221">
        <f t="shared" si="17"/>
        <v>4</v>
      </c>
      <c r="AD9" s="222">
        <f t="shared" si="17"/>
        <v>9</v>
      </c>
      <c r="AE9" s="94" t="str">
        <f t="shared" si="17"/>
        <v>Isla Capitalina</v>
      </c>
      <c r="AF9" s="367"/>
      <c r="AG9" s="92">
        <f>+D9+((F$15*AA$15)+(F9*AD9)+(F$16*AA$16)+(F$17*AA$17)+(F$18*AA$18)+(F$19*AA$19))+H9+J9+(IF(AC9=L$2,L9,IF(AC9=N$2,N9,IF(AC9=P$2,P9,IF(AC9=R$2,R9,IF(AC9&gt;R$2,T9,0))))))+(IF(AE9=V$3,V9,W9+(X$15*AA$15)+(X$16*AA$16)+(X$17*AA$17)+(X$18*AA$18)+(X$19*AA$19)))</f>
        <v>3480.7400000000002</v>
      </c>
      <c r="AH9" s="93">
        <f>+E9+(G9*AD9)+(G$15*AA$15)+(G$16*AA$16)+(G$17*AA$17)+(G$18*AA$18)+(G$19*AA$19)+(IF(AC9=M$2,M9,IF(AC9=O$2,O9,IF(AC9=Q$2,Q9,IF(AC9=S$2,S9,IF(AC9&gt;S$2,U9,0))))))+I9+K9</f>
        <v>2479.752</v>
      </c>
      <c r="AI9" s="92">
        <f>+(AG9*12)+(AH9*2)</f>
        <v>46728.384000000005</v>
      </c>
      <c r="AJ9" s="223">
        <f>+'IRPF Secund'!B37</f>
        <v>0.22161111071163944</v>
      </c>
      <c r="AK9" s="92">
        <f t="shared" si="3"/>
        <v>771.37065749843191</v>
      </c>
      <c r="AL9" s="224">
        <f t="shared" si="4"/>
        <v>2547.0193425015686</v>
      </c>
      <c r="AM9" s="224">
        <f t="shared" si="5"/>
        <v>1320.9112525078413</v>
      </c>
      <c r="AN9" s="224">
        <f t="shared" si="6"/>
        <v>4314.8807474921596</v>
      </c>
      <c r="AO9" s="224">
        <f t="shared" si="7"/>
        <v>10355.529080000002</v>
      </c>
      <c r="AP9" s="224">
        <f t="shared" si="14"/>
        <v>34099.954920000004</v>
      </c>
      <c r="AR9" s="224">
        <f t="shared" si="8"/>
        <v>607.19500000000005</v>
      </c>
      <c r="AS9" s="367"/>
      <c r="AT9" s="367"/>
    </row>
    <row r="10" spans="1:46" hidden="1" x14ac:dyDescent="0.2">
      <c r="A10" s="219" t="s">
        <v>2</v>
      </c>
      <c r="B10" s="219">
        <v>24</v>
      </c>
      <c r="C10" s="174" t="s">
        <v>16</v>
      </c>
      <c r="D10" s="342">
        <f>+J26</f>
        <v>1050.06</v>
      </c>
      <c r="E10" s="342">
        <f>+J27</f>
        <v>765.83</v>
      </c>
      <c r="F10" s="342">
        <f>+J28</f>
        <v>38.119999999999997</v>
      </c>
      <c r="G10" s="342">
        <f>+J29</f>
        <v>27.79</v>
      </c>
      <c r="H10" s="220">
        <f>+H9</f>
        <v>647.12</v>
      </c>
      <c r="I10" s="220">
        <f>+H10</f>
        <v>647.12</v>
      </c>
      <c r="J10" s="347">
        <f>+J32</f>
        <v>674.93999999999994</v>
      </c>
      <c r="K10" s="317">
        <f t="shared" si="10"/>
        <v>526.45319999999992</v>
      </c>
      <c r="L10" s="225">
        <f t="shared" si="16"/>
        <v>55</v>
      </c>
      <c r="M10" s="225">
        <f t="shared" si="11"/>
        <v>42.9</v>
      </c>
      <c r="N10" s="225">
        <f t="shared" si="11"/>
        <v>119</v>
      </c>
      <c r="O10" s="225">
        <f t="shared" si="11"/>
        <v>92.820000000000007</v>
      </c>
      <c r="P10" s="225">
        <f t="shared" si="11"/>
        <v>239</v>
      </c>
      <c r="Q10" s="225">
        <f t="shared" si="11"/>
        <v>186.42000000000002</v>
      </c>
      <c r="R10" s="225">
        <f t="shared" si="11"/>
        <v>383</v>
      </c>
      <c r="S10" s="225">
        <f t="shared" si="11"/>
        <v>298.74</v>
      </c>
      <c r="T10" s="225">
        <f t="shared" si="11"/>
        <v>453</v>
      </c>
      <c r="U10" s="225">
        <f t="shared" si="11"/>
        <v>353.34000000000003</v>
      </c>
      <c r="V10" s="342">
        <f>+J44</f>
        <v>128.41999999999999</v>
      </c>
      <c r="W10" s="342">
        <f>+J45</f>
        <v>427.74</v>
      </c>
      <c r="X10" s="342">
        <f>+J46</f>
        <v>30.05</v>
      </c>
      <c r="Y10" s="345">
        <f>+J47</f>
        <v>38.909999999999997</v>
      </c>
      <c r="Z10" s="345">
        <f>+J48</f>
        <v>88.86</v>
      </c>
      <c r="AA10" s="205">
        <f>IF([2]Datos!E$11=[2]Retribuciones!C10,[2]Retribuciones!AD10,0)</f>
        <v>0</v>
      </c>
      <c r="AB10" s="205" t="str">
        <f t="shared" si="0"/>
        <v/>
      </c>
      <c r="AC10" s="221">
        <f t="shared" si="17"/>
        <v>4</v>
      </c>
      <c r="AD10" s="222">
        <f>+'[2]Tiempos de cotización'!K6</f>
        <v>0</v>
      </c>
      <c r="AE10" s="94" t="str">
        <f t="shared" si="17"/>
        <v>Isla Capitalina</v>
      </c>
      <c r="AF10" s="367"/>
      <c r="AG10" s="92">
        <f t="shared" ref="AG10:AG13" si="19">+D10+((F$15*AA$15)+(F10*AD10)+(F$16*AA$16)+(F$17*AA$17)+(F$18*AA$18)+(F$19*AA$19))+H10+J10+(IF(AC10=L$2,L10,IF(AC10=N$2,N10,IF(AC10=P$2,P10,IF(AC10=R$2,R10,IF(AC10&gt;R$2,T10,0))))))+(IF(AE10=V$3,V10,W10+(X$15*AA$15)+(X$16*AA$16)+(X$17*AA$17)+(X$18*AA$18)+(X$19*AA$19)))</f>
        <v>2883.54</v>
      </c>
      <c r="AH10" s="93">
        <f t="shared" ref="AH10:AH13" si="20">+E10+(G10*AD10)+(G$15*AA$15)+(G$16*AA$16)+(G$17*AA$17)+(G$18*AA$18)+(G$19*AA$19)+(IF(AC10=M$2,M10,IF(AC10=O$2,O10,IF(AC10=Q$2,Q10,IF(AC10=S$2,S10,IF(AC10&gt;S$2,U10,0))))))+I10+K10</f>
        <v>2238.1432</v>
      </c>
      <c r="AI10" s="92">
        <f t="shared" si="13"/>
        <v>39078.766399999993</v>
      </c>
      <c r="AJ10" s="223">
        <f>'IRPF TecnFP'!B37</f>
        <v>0.19714785490260511</v>
      </c>
      <c r="AK10" s="92">
        <f t="shared" si="3"/>
        <v>568.48372552585795</v>
      </c>
      <c r="AL10" s="224">
        <f t="shared" si="4"/>
        <v>2187.2862744741419</v>
      </c>
      <c r="AM10" s="224">
        <f t="shared" si="5"/>
        <v>1009.7288563707101</v>
      </c>
      <c r="AN10" s="224">
        <f t="shared" si="6"/>
        <v>3856.4143436292902</v>
      </c>
      <c r="AO10" s="224">
        <f t="shared" si="7"/>
        <v>7704.2949679999983</v>
      </c>
      <c r="AP10" s="224">
        <f t="shared" si="14"/>
        <v>29585.691431999996</v>
      </c>
      <c r="AR10" s="224">
        <f>+((D10+(F$19*AA$19)+(F$18*AA$18))/2)</f>
        <v>525.03</v>
      </c>
      <c r="AS10" s="367"/>
      <c r="AT10" s="367"/>
    </row>
    <row r="11" spans="1:46" hidden="1" x14ac:dyDescent="0.2">
      <c r="A11" s="219" t="s">
        <v>2</v>
      </c>
      <c r="B11" s="219">
        <v>24</v>
      </c>
      <c r="C11" s="174" t="s">
        <v>20</v>
      </c>
      <c r="D11" s="220">
        <f t="shared" ref="D11:G13" si="21">+D10</f>
        <v>1050.06</v>
      </c>
      <c r="E11" s="220">
        <f t="shared" si="21"/>
        <v>765.83</v>
      </c>
      <c r="F11" s="220">
        <f t="shared" si="21"/>
        <v>38.119999999999997</v>
      </c>
      <c r="G11" s="220">
        <f t="shared" si="21"/>
        <v>27.79</v>
      </c>
      <c r="H11" s="220">
        <f>+H10</f>
        <v>647.12</v>
      </c>
      <c r="I11" s="220">
        <f t="shared" si="9"/>
        <v>647.12</v>
      </c>
      <c r="J11" s="220">
        <f>+J10</f>
        <v>674.93999999999994</v>
      </c>
      <c r="K11" s="317">
        <f t="shared" si="10"/>
        <v>526.45319999999992</v>
      </c>
      <c r="L11" s="225">
        <f t="shared" si="16"/>
        <v>55</v>
      </c>
      <c r="M11" s="225">
        <f t="shared" si="11"/>
        <v>42.9</v>
      </c>
      <c r="N11" s="225">
        <f t="shared" si="11"/>
        <v>119</v>
      </c>
      <c r="O11" s="225">
        <f t="shared" si="11"/>
        <v>92.820000000000007</v>
      </c>
      <c r="P11" s="225">
        <f t="shared" si="11"/>
        <v>239</v>
      </c>
      <c r="Q11" s="225">
        <f t="shared" si="11"/>
        <v>186.42000000000002</v>
      </c>
      <c r="R11" s="225">
        <f t="shared" si="11"/>
        <v>383</v>
      </c>
      <c r="S11" s="225">
        <f t="shared" si="11"/>
        <v>298.74</v>
      </c>
      <c r="T11" s="225">
        <f t="shared" si="11"/>
        <v>453</v>
      </c>
      <c r="U11" s="225">
        <f t="shared" si="11"/>
        <v>353.34000000000003</v>
      </c>
      <c r="V11" s="225">
        <f t="shared" si="11"/>
        <v>128.41999999999999</v>
      </c>
      <c r="W11" s="225">
        <f t="shared" si="11"/>
        <v>427.74</v>
      </c>
      <c r="X11" s="225">
        <f t="shared" si="11"/>
        <v>30.05</v>
      </c>
      <c r="Y11" s="225">
        <f t="shared" si="11"/>
        <v>38.909999999999997</v>
      </c>
      <c r="Z11" s="225">
        <f t="shared" si="11"/>
        <v>88.86</v>
      </c>
      <c r="AA11" s="205">
        <f>IF([2]Datos!E$11=[2]Retribuciones!C11,[2]Retribuciones!AD11,0)</f>
        <v>0</v>
      </c>
      <c r="AB11" s="205" t="str">
        <f t="shared" si="0"/>
        <v/>
      </c>
      <c r="AC11" s="221">
        <f t="shared" si="17"/>
        <v>4</v>
      </c>
      <c r="AD11" s="222">
        <f>+AD10</f>
        <v>0</v>
      </c>
      <c r="AE11" s="94" t="str">
        <f t="shared" si="17"/>
        <v>Isla Capitalina</v>
      </c>
      <c r="AF11" s="367"/>
      <c r="AG11" s="92">
        <f t="shared" si="19"/>
        <v>2883.54</v>
      </c>
      <c r="AH11" s="93">
        <f t="shared" si="20"/>
        <v>2238.1432</v>
      </c>
      <c r="AI11" s="92">
        <f t="shared" si="13"/>
        <v>39078.766399999993</v>
      </c>
      <c r="AJ11" s="223">
        <f>+'IRPF TecnFP'!B37</f>
        <v>0.19714785490260511</v>
      </c>
      <c r="AK11" s="92">
        <f t="shared" si="3"/>
        <v>568.48372552585795</v>
      </c>
      <c r="AL11" s="224">
        <f t="shared" si="4"/>
        <v>2187.2862744741419</v>
      </c>
      <c r="AM11" s="224">
        <f t="shared" si="5"/>
        <v>1009.7288563707101</v>
      </c>
      <c r="AN11" s="224">
        <f t="shared" si="6"/>
        <v>3856.4143436292902</v>
      </c>
      <c r="AO11" s="224">
        <f t="shared" si="7"/>
        <v>7704.2949679999983</v>
      </c>
      <c r="AP11" s="224">
        <f t="shared" si="14"/>
        <v>29585.691431999996</v>
      </c>
      <c r="AR11" s="224">
        <f t="shared" si="8"/>
        <v>525.03</v>
      </c>
      <c r="AS11" s="367"/>
      <c r="AT11" s="367"/>
    </row>
    <row r="12" spans="1:46" hidden="1" x14ac:dyDescent="0.2">
      <c r="A12" s="219" t="s">
        <v>2</v>
      </c>
      <c r="B12" s="219">
        <v>21</v>
      </c>
      <c r="C12" s="174" t="s">
        <v>160</v>
      </c>
      <c r="D12" s="220">
        <f t="shared" si="21"/>
        <v>1050.06</v>
      </c>
      <c r="E12" s="220">
        <f t="shared" si="21"/>
        <v>765.83</v>
      </c>
      <c r="F12" s="220">
        <f t="shared" si="21"/>
        <v>38.119999999999997</v>
      </c>
      <c r="G12" s="220">
        <f t="shared" si="21"/>
        <v>27.79</v>
      </c>
      <c r="H12" s="347">
        <f>+L30</f>
        <v>525.48</v>
      </c>
      <c r="I12" s="220">
        <f t="shared" si="9"/>
        <v>525.48</v>
      </c>
      <c r="J12" s="347">
        <f>+M32</f>
        <v>796.56999999999994</v>
      </c>
      <c r="K12" s="317">
        <f t="shared" si="10"/>
        <v>621.32459999999992</v>
      </c>
      <c r="L12" s="225">
        <f t="shared" si="16"/>
        <v>55</v>
      </c>
      <c r="M12" s="225">
        <f t="shared" si="11"/>
        <v>42.9</v>
      </c>
      <c r="N12" s="225">
        <f t="shared" si="11"/>
        <v>119</v>
      </c>
      <c r="O12" s="225">
        <f t="shared" si="11"/>
        <v>92.820000000000007</v>
      </c>
      <c r="P12" s="225">
        <f t="shared" si="11"/>
        <v>239</v>
      </c>
      <c r="Q12" s="225">
        <f t="shared" si="11"/>
        <v>186.42000000000002</v>
      </c>
      <c r="R12" s="225">
        <f t="shared" si="11"/>
        <v>383</v>
      </c>
      <c r="S12" s="225">
        <f t="shared" si="11"/>
        <v>298.74</v>
      </c>
      <c r="T12" s="225">
        <f t="shared" si="11"/>
        <v>453</v>
      </c>
      <c r="U12" s="225">
        <f t="shared" si="11"/>
        <v>353.34000000000003</v>
      </c>
      <c r="V12" s="225">
        <f t="shared" si="11"/>
        <v>128.41999999999999</v>
      </c>
      <c r="W12" s="225">
        <f t="shared" si="11"/>
        <v>427.74</v>
      </c>
      <c r="X12" s="225">
        <f t="shared" si="11"/>
        <v>30.05</v>
      </c>
      <c r="Y12" s="225">
        <f t="shared" si="11"/>
        <v>38.909999999999997</v>
      </c>
      <c r="Z12" s="225">
        <f t="shared" si="11"/>
        <v>88.86</v>
      </c>
      <c r="AA12" s="205">
        <f>IF([2]Datos!E$11=[2]Retribuciones!C12,[2]Retribuciones!AD12,0)</f>
        <v>0</v>
      </c>
      <c r="AB12" s="205" t="str">
        <f t="shared" si="0"/>
        <v/>
      </c>
      <c r="AC12" s="221">
        <f t="shared" si="17"/>
        <v>4</v>
      </c>
      <c r="AD12" s="222">
        <f t="shared" si="17"/>
        <v>0</v>
      </c>
      <c r="AE12" s="94" t="str">
        <f t="shared" si="17"/>
        <v>Isla Capitalina</v>
      </c>
      <c r="AF12" s="367"/>
      <c r="AG12" s="92">
        <f t="shared" si="19"/>
        <v>2883.5299999999997</v>
      </c>
      <c r="AH12" s="93">
        <f t="shared" si="20"/>
        <v>2211.3746000000001</v>
      </c>
      <c r="AI12" s="92">
        <f t="shared" si="13"/>
        <v>39025.109199999999</v>
      </c>
      <c r="AJ12" s="223">
        <f>+'IRPF 1º y 2ª ESO'!B37</f>
        <v>0.19691019350177758</v>
      </c>
      <c r="AK12" s="92">
        <f t="shared" si="3"/>
        <v>567.79645026818059</v>
      </c>
      <c r="AL12" s="224">
        <f t="shared" si="4"/>
        <v>2187.9635497318191</v>
      </c>
      <c r="AM12" s="224">
        <f t="shared" si="5"/>
        <v>1003.2386506590966</v>
      </c>
      <c r="AN12" s="224">
        <f t="shared" si="6"/>
        <v>3836.1259493409043</v>
      </c>
      <c r="AO12" s="224">
        <f t="shared" si="7"/>
        <v>7684.441804</v>
      </c>
      <c r="AP12" s="224">
        <f t="shared" si="14"/>
        <v>29551.887395999998</v>
      </c>
      <c r="AR12" s="224">
        <f t="shared" si="8"/>
        <v>525.03</v>
      </c>
      <c r="AS12" s="367"/>
      <c r="AT12" s="367"/>
    </row>
    <row r="13" spans="1:46" hidden="1" x14ac:dyDescent="0.2">
      <c r="A13" s="219" t="s">
        <v>2</v>
      </c>
      <c r="B13" s="219">
        <v>21</v>
      </c>
      <c r="C13" s="174" t="s">
        <v>11</v>
      </c>
      <c r="D13" s="220">
        <f t="shared" si="21"/>
        <v>1050.06</v>
      </c>
      <c r="E13" s="220">
        <f t="shared" si="21"/>
        <v>765.83</v>
      </c>
      <c r="F13" s="220">
        <f t="shared" si="21"/>
        <v>38.119999999999997</v>
      </c>
      <c r="G13" s="220">
        <f t="shared" si="21"/>
        <v>27.79</v>
      </c>
      <c r="H13" s="220">
        <f>+H12</f>
        <v>525.48</v>
      </c>
      <c r="I13" s="220">
        <f t="shared" si="9"/>
        <v>525.48</v>
      </c>
      <c r="J13" s="347">
        <v>694.41042499999992</v>
      </c>
      <c r="K13" s="317">
        <f t="shared" si="10"/>
        <v>541.64013149999994</v>
      </c>
      <c r="L13" s="225">
        <f t="shared" si="16"/>
        <v>55</v>
      </c>
      <c r="M13" s="225">
        <f t="shared" si="11"/>
        <v>42.9</v>
      </c>
      <c r="N13" s="225">
        <f t="shared" si="11"/>
        <v>119</v>
      </c>
      <c r="O13" s="225">
        <f t="shared" si="11"/>
        <v>92.820000000000007</v>
      </c>
      <c r="P13" s="225">
        <f t="shared" si="11"/>
        <v>239</v>
      </c>
      <c r="Q13" s="225">
        <f t="shared" si="11"/>
        <v>186.42000000000002</v>
      </c>
      <c r="R13" s="225">
        <f t="shared" si="11"/>
        <v>383</v>
      </c>
      <c r="S13" s="225">
        <f t="shared" si="11"/>
        <v>298.74</v>
      </c>
      <c r="T13" s="225">
        <f t="shared" si="11"/>
        <v>453</v>
      </c>
      <c r="U13" s="225">
        <f t="shared" si="11"/>
        <v>353.34000000000003</v>
      </c>
      <c r="V13" s="225">
        <f t="shared" si="11"/>
        <v>128.41999999999999</v>
      </c>
      <c r="W13" s="225">
        <f t="shared" si="11"/>
        <v>427.74</v>
      </c>
      <c r="X13" s="225">
        <f t="shared" si="11"/>
        <v>30.05</v>
      </c>
      <c r="Y13" s="225">
        <f t="shared" si="11"/>
        <v>38.909999999999997</v>
      </c>
      <c r="Z13" s="225">
        <f t="shared" si="11"/>
        <v>88.86</v>
      </c>
      <c r="AA13" s="205">
        <f>IF([2]Datos!E$11=[2]Retribuciones!C13,[2]Retribuciones!AD13,0)</f>
        <v>0</v>
      </c>
      <c r="AB13" s="205" t="str">
        <f>IF(AA13&gt;0,A13,"")</f>
        <v/>
      </c>
      <c r="AC13" s="221">
        <f t="shared" si="17"/>
        <v>4</v>
      </c>
      <c r="AD13" s="222">
        <f t="shared" si="17"/>
        <v>0</v>
      </c>
      <c r="AE13" s="94" t="str">
        <f t="shared" si="17"/>
        <v>Isla Capitalina</v>
      </c>
      <c r="AF13" s="367"/>
      <c r="AG13" s="92">
        <f t="shared" si="19"/>
        <v>2781.3704250000001</v>
      </c>
      <c r="AH13" s="93">
        <f t="shared" si="20"/>
        <v>2131.6901315</v>
      </c>
      <c r="AI13" s="92">
        <f>+(AG13*12)+(AH13*2)</f>
        <v>37639.825362999996</v>
      </c>
      <c r="AJ13" s="223">
        <f>+'IRPF Maestros'!B37</f>
        <v>0.19304854735173127</v>
      </c>
      <c r="AK13" s="92">
        <f t="shared" si="3"/>
        <v>536.93952019331743</v>
      </c>
      <c r="AL13" s="224">
        <f t="shared" si="4"/>
        <v>2116.6609048066825</v>
      </c>
      <c r="AM13" s="224">
        <f>(+AG13+AH13)*AJ13</f>
        <v>948.45920348341349</v>
      </c>
      <c r="AN13" s="224">
        <f>(+AG13+AH13)-Y13-Y13-Z13-Z13-AM13</f>
        <v>3709.0613530165879</v>
      </c>
      <c r="AO13" s="224">
        <f t="shared" si="7"/>
        <v>7266.3136089000009</v>
      </c>
      <c r="AP13" s="224">
        <f t="shared" si="14"/>
        <v>28584.731754099997</v>
      </c>
      <c r="AR13" s="224">
        <f>+((D13+(F$19*AA$19)+(F$18*AA$18))/2)</f>
        <v>525.03</v>
      </c>
      <c r="AS13" s="367"/>
      <c r="AT13" s="367"/>
    </row>
    <row r="14" spans="1:46" hidden="1" x14ac:dyDescent="0.2">
      <c r="A14" s="219" t="s">
        <v>60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205">
        <f>+AD14</f>
        <v>0</v>
      </c>
      <c r="AB14" s="205"/>
      <c r="AC14" s="403"/>
      <c r="AD14" s="222">
        <f>+'[2]Tiempos de cotización'!K7</f>
        <v>0</v>
      </c>
      <c r="AE14" s="94" t="str">
        <f t="shared" si="17"/>
        <v>Isla Capitalina</v>
      </c>
      <c r="AF14" s="367"/>
      <c r="AG14" s="367"/>
      <c r="AH14" s="367"/>
      <c r="AI14" s="367"/>
      <c r="AP14" s="6"/>
      <c r="AS14" s="367"/>
      <c r="AT14" s="367"/>
    </row>
    <row r="15" spans="1:46" hidden="1" x14ac:dyDescent="0.2">
      <c r="A15" s="219" t="s">
        <v>61</v>
      </c>
      <c r="B15" s="367"/>
      <c r="C15" s="367"/>
      <c r="D15" s="367"/>
      <c r="E15" s="367"/>
      <c r="F15" s="342">
        <v>27.95</v>
      </c>
      <c r="G15" s="342">
        <v>24.14</v>
      </c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44">
        <v>100.3</v>
      </c>
      <c r="W15" s="344">
        <v>333.98</v>
      </c>
      <c r="X15" s="348">
        <v>23.52</v>
      </c>
      <c r="Y15" s="367"/>
      <c r="Z15" s="367"/>
      <c r="AA15" s="205">
        <f>+AD15</f>
        <v>0</v>
      </c>
      <c r="AB15" s="205"/>
      <c r="AC15" s="403"/>
      <c r="AD15" s="222">
        <f>+'[2]Tiempos de cotización'!K8</f>
        <v>0</v>
      </c>
      <c r="AE15" s="94" t="str">
        <f t="shared" si="17"/>
        <v>Isla Capitalina</v>
      </c>
      <c r="AF15" s="367"/>
      <c r="AG15" s="367"/>
      <c r="AH15" s="367"/>
      <c r="AI15" s="367"/>
      <c r="AS15" s="367"/>
      <c r="AT15" s="367"/>
    </row>
    <row r="16" spans="1:46" hidden="1" x14ac:dyDescent="0.2">
      <c r="A16" s="219" t="s">
        <v>62</v>
      </c>
      <c r="B16" s="367"/>
      <c r="C16" s="367"/>
      <c r="D16" s="367"/>
      <c r="E16" s="367"/>
      <c r="F16" s="342">
        <v>19.02</v>
      </c>
      <c r="G16" s="342">
        <v>18.84</v>
      </c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44">
        <v>65.72</v>
      </c>
      <c r="W16" s="344">
        <v>218.86</v>
      </c>
      <c r="X16" s="348">
        <v>15.44</v>
      </c>
      <c r="Y16" s="367"/>
      <c r="Z16" s="367"/>
      <c r="AA16" s="205">
        <f t="shared" ref="AA16:AA19" si="22">+AD16</f>
        <v>0</v>
      </c>
      <c r="AB16" s="205"/>
      <c r="AC16" s="403"/>
      <c r="AD16" s="222">
        <f>+'[2]Tiempos de cotización'!K9</f>
        <v>0</v>
      </c>
      <c r="AE16" s="94" t="str">
        <f t="shared" si="17"/>
        <v>Isla Capitalina</v>
      </c>
      <c r="AF16" s="367"/>
      <c r="AG16" s="367"/>
      <c r="AH16" s="367"/>
      <c r="AI16" s="367"/>
      <c r="AS16" s="367"/>
      <c r="AT16" s="367"/>
    </row>
    <row r="17" spans="1:50" hidden="1" x14ac:dyDescent="0.2">
      <c r="A17" s="219" t="s">
        <v>63</v>
      </c>
      <c r="B17" s="367"/>
      <c r="C17" s="367"/>
      <c r="D17" s="367"/>
      <c r="E17" s="367"/>
      <c r="F17" s="342">
        <v>14.32</v>
      </c>
      <c r="G17" s="342">
        <v>14.32</v>
      </c>
      <c r="H17" s="367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44">
        <v>51.92</v>
      </c>
      <c r="W17" s="344">
        <v>172.79</v>
      </c>
      <c r="X17" s="348">
        <v>12.22</v>
      </c>
      <c r="Y17" s="367"/>
      <c r="Z17" s="367"/>
      <c r="AA17" s="205">
        <f t="shared" si="22"/>
        <v>0</v>
      </c>
      <c r="AB17" s="205"/>
      <c r="AC17" s="403"/>
      <c r="AD17" s="222">
        <f>+'[2]Tiempos de cotización'!K10</f>
        <v>0</v>
      </c>
      <c r="AE17" s="94" t="str">
        <f t="shared" si="17"/>
        <v>Isla Capitalina</v>
      </c>
      <c r="AF17" s="367"/>
      <c r="AG17" s="367"/>
      <c r="AH17" s="367"/>
      <c r="AI17" s="367"/>
      <c r="AS17" s="367"/>
      <c r="AT17" s="367"/>
    </row>
    <row r="18" spans="1:50" hidden="1" x14ac:dyDescent="0.2">
      <c r="A18" s="219" t="s">
        <v>1</v>
      </c>
      <c r="B18" s="367"/>
      <c r="C18" s="367"/>
      <c r="D18" s="367"/>
      <c r="E18" s="367"/>
      <c r="F18" s="342">
        <f>+F4</f>
        <v>46.74</v>
      </c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  <c r="X18" s="347">
        <f>+X4</f>
        <v>41.72</v>
      </c>
      <c r="Y18" s="367"/>
      <c r="Z18" s="367"/>
      <c r="AA18" s="205">
        <f t="shared" si="22"/>
        <v>0</v>
      </c>
      <c r="AC18" s="367"/>
      <c r="AD18" s="222">
        <v>0</v>
      </c>
      <c r="AE18" s="94" t="str">
        <f t="shared" si="17"/>
        <v>Isla Capitalina</v>
      </c>
      <c r="AF18" s="367"/>
      <c r="AG18" s="367"/>
      <c r="AH18" s="367"/>
      <c r="AI18" s="367"/>
      <c r="AJ18" s="367"/>
      <c r="AK18" s="367"/>
      <c r="AL18" s="367"/>
      <c r="AM18" s="367"/>
      <c r="AS18" s="367"/>
      <c r="AT18" s="367"/>
    </row>
    <row r="19" spans="1:50" hidden="1" x14ac:dyDescent="0.2">
      <c r="A19" s="219" t="s">
        <v>2</v>
      </c>
      <c r="B19" s="367"/>
      <c r="C19" s="367"/>
      <c r="D19" s="367"/>
      <c r="E19" s="367"/>
      <c r="F19" s="342">
        <f>+F10</f>
        <v>38.119999999999997</v>
      </c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  <c r="W19" s="367"/>
      <c r="X19" s="347">
        <f>+X10</f>
        <v>30.05</v>
      </c>
      <c r="Y19" s="367"/>
      <c r="Z19" s="367"/>
      <c r="AA19" s="205">
        <f t="shared" si="22"/>
        <v>0</v>
      </c>
      <c r="AC19" s="367"/>
      <c r="AD19" s="222">
        <f>+'[2]Tiempos de cotización'!K6</f>
        <v>0</v>
      </c>
      <c r="AE19" s="94" t="str">
        <f t="shared" si="17"/>
        <v>Isla Capitalina</v>
      </c>
      <c r="AF19" s="367"/>
      <c r="AG19" s="367"/>
      <c r="AH19" s="367"/>
      <c r="AI19" s="367"/>
      <c r="AJ19" s="367"/>
      <c r="AK19" s="367"/>
      <c r="AL19" s="367"/>
      <c r="AM19" s="367"/>
      <c r="AS19" s="367"/>
      <c r="AT19" s="367"/>
    </row>
    <row r="20" spans="1:50" hidden="1" x14ac:dyDescent="0.2">
      <c r="A20" s="367"/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C20" s="367"/>
      <c r="AD20" s="367"/>
      <c r="AE20" s="367"/>
      <c r="AF20" s="367"/>
      <c r="AG20" s="367"/>
      <c r="AH20" s="367"/>
      <c r="AI20" s="367"/>
      <c r="AJ20" s="367"/>
      <c r="AK20" s="367"/>
      <c r="AL20" s="367"/>
      <c r="AM20" s="367"/>
      <c r="AS20" s="367"/>
      <c r="AT20" s="367"/>
    </row>
    <row r="21" spans="1:50" hidden="1" x14ac:dyDescent="0.2">
      <c r="A21" s="367"/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7"/>
      <c r="AM21" s="367"/>
      <c r="AN21" s="367"/>
      <c r="AO21" s="367"/>
      <c r="AP21" s="367"/>
      <c r="AQ21" s="367"/>
      <c r="AR21" s="367"/>
      <c r="AS21" s="367"/>
      <c r="AT21" s="367"/>
    </row>
    <row r="22" spans="1:50" x14ac:dyDescent="0.2">
      <c r="A22" s="367"/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8" t="str">
        <f>+[3]Nóminab!C10</f>
        <v>No</v>
      </c>
      <c r="R22" s="367"/>
      <c r="S22" s="367"/>
      <c r="T22" s="367"/>
      <c r="U22" s="367"/>
      <c r="V22" s="367"/>
      <c r="W22" s="367"/>
      <c r="X22" s="369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</row>
    <row r="23" spans="1:50" ht="78.75" x14ac:dyDescent="0.35">
      <c r="A23" s="367"/>
      <c r="B23" s="367"/>
      <c r="C23" s="91" t="s">
        <v>254</v>
      </c>
      <c r="D23" s="349" t="s">
        <v>255</v>
      </c>
      <c r="E23" s="349" t="s">
        <v>256</v>
      </c>
      <c r="F23" s="349" t="s">
        <v>257</v>
      </c>
      <c r="G23" s="349" t="s">
        <v>258</v>
      </c>
      <c r="H23" s="349" t="s">
        <v>259</v>
      </c>
      <c r="I23" s="349" t="s">
        <v>260</v>
      </c>
      <c r="J23" s="349" t="s">
        <v>261</v>
      </c>
      <c r="K23" s="349" t="s">
        <v>262</v>
      </c>
      <c r="L23" s="349" t="s">
        <v>263</v>
      </c>
      <c r="M23" s="349" t="s">
        <v>345</v>
      </c>
      <c r="N23" s="367"/>
      <c r="O23" s="367"/>
      <c r="P23" s="349" t="str">
        <f>+[3]Nóminab!C5</f>
        <v>590-Profesores Enseñanza Secundaria</v>
      </c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  <c r="AB23" s="367"/>
      <c r="AC23" s="367"/>
      <c r="AD23" s="367"/>
      <c r="AE23" s="367"/>
      <c r="AF23" s="367"/>
      <c r="AG23" s="367"/>
      <c r="AH23" s="367"/>
      <c r="AI23" s="367"/>
      <c r="AJ23" s="532"/>
      <c r="AK23" s="367"/>
      <c r="AL23" s="367"/>
      <c r="AM23" s="367"/>
      <c r="AN23" s="367"/>
      <c r="AO23" s="367"/>
      <c r="AP23" s="367"/>
      <c r="AQ23" s="367"/>
      <c r="AR23" s="367"/>
      <c r="AS23" s="367"/>
      <c r="AT23" s="367"/>
    </row>
    <row r="24" spans="1:50" ht="15" x14ac:dyDescent="0.25">
      <c r="A24" s="367"/>
      <c r="B24" s="367"/>
      <c r="C24" s="350" t="s">
        <v>70</v>
      </c>
      <c r="D24" s="219" t="s">
        <v>1</v>
      </c>
      <c r="E24" s="219" t="s">
        <v>1</v>
      </c>
      <c r="F24" s="219" t="s">
        <v>1</v>
      </c>
      <c r="G24" s="219" t="s">
        <v>1</v>
      </c>
      <c r="H24" s="219" t="s">
        <v>1</v>
      </c>
      <c r="I24" s="219" t="s">
        <v>1</v>
      </c>
      <c r="J24" s="219" t="s">
        <v>2</v>
      </c>
      <c r="K24" s="219" t="s">
        <v>2</v>
      </c>
      <c r="L24" s="219" t="s">
        <v>2</v>
      </c>
      <c r="M24" s="219" t="s">
        <v>2</v>
      </c>
      <c r="N24" s="367"/>
      <c r="O24" s="367"/>
      <c r="P24" s="91" t="str">
        <f>IF(P$23=D$23,D24,IF(P$23=E$23,E24,IF(P$23=F$23,F24,IF(P$23=G$23,G24,IF(P$23=H$23,H24,IF(P$23=I$23,I24,IF(P$23=J$23,J24,IF(P$23=K$23,K24,IF(P$23=L$23,L24,IF(P$23=M$23,M24,IF(P$23=M$23,M24,666)))))))))))</f>
        <v>A1</v>
      </c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7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367"/>
      <c r="AS24" s="367"/>
      <c r="AT24" s="367"/>
      <c r="AU24" s="351" t="s">
        <v>334</v>
      </c>
      <c r="AV24" s="341">
        <v>2021</v>
      </c>
      <c r="AX24"/>
    </row>
    <row r="25" spans="1:50" ht="15" x14ac:dyDescent="0.25">
      <c r="A25" s="367"/>
      <c r="B25" s="367"/>
      <c r="C25" s="350" t="s">
        <v>264</v>
      </c>
      <c r="D25" s="219">
        <v>26</v>
      </c>
      <c r="E25" s="219">
        <v>26</v>
      </c>
      <c r="F25" s="219">
        <v>24</v>
      </c>
      <c r="G25" s="219">
        <v>24</v>
      </c>
      <c r="H25" s="219">
        <v>24</v>
      </c>
      <c r="I25" s="219">
        <v>24</v>
      </c>
      <c r="J25" s="219">
        <v>24</v>
      </c>
      <c r="K25" s="219">
        <v>24</v>
      </c>
      <c r="L25" s="219">
        <v>21</v>
      </c>
      <c r="M25" s="219">
        <v>21</v>
      </c>
      <c r="N25" s="367"/>
      <c r="O25" s="367"/>
      <c r="P25" s="91">
        <f>IF(P$23=D$23,D25,IF(P$23=E$23,E25,IF(P$23=F$23,F25,IF(P$23=G$23,G25,IF(P$23=H$23,H25,IF(P$23=I$23,I25,IF(P$23=J$23,J25,IF(P$23=K$23,K25,IF(P$23=L$23,L25,IF(P$23=M$23,M25,666))))))))))</f>
        <v>24</v>
      </c>
      <c r="Q25" s="367"/>
      <c r="R25" s="367"/>
      <c r="S25" s="367"/>
      <c r="V25" s="369"/>
      <c r="W25" s="367"/>
      <c r="X25" s="367"/>
      <c r="Y25" s="367"/>
      <c r="Z25" s="367"/>
      <c r="AA25" s="367"/>
      <c r="AB25" s="367"/>
      <c r="AC25" s="367"/>
      <c r="AD25" s="367"/>
      <c r="AE25" s="367"/>
      <c r="AF25" s="367"/>
      <c r="AG25" s="367"/>
      <c r="AH25" s="367"/>
      <c r="AI25" s="367"/>
      <c r="AJ25" s="367"/>
      <c r="AK25" s="367"/>
      <c r="AL25" s="367"/>
      <c r="AM25" s="367"/>
      <c r="AN25" s="367"/>
      <c r="AO25" s="367"/>
      <c r="AP25" s="367"/>
      <c r="AQ25" s="367"/>
      <c r="AR25" s="367"/>
      <c r="AS25" s="367"/>
      <c r="AT25" s="367"/>
      <c r="AU25" s="370" t="s">
        <v>265</v>
      </c>
      <c r="AV25" s="413">
        <v>557.31999999999994</v>
      </c>
    </row>
    <row r="26" spans="1:50" ht="15" x14ac:dyDescent="0.25">
      <c r="A26" s="367"/>
      <c r="B26" s="367"/>
      <c r="C26" s="352" t="s">
        <v>22</v>
      </c>
      <c r="D26" s="393">
        <f>14572.68/12</f>
        <v>1214.3900000000001</v>
      </c>
      <c r="E26" s="220">
        <f t="shared" ref="E26:I29" si="23">+D26</f>
        <v>1214.3900000000001</v>
      </c>
      <c r="F26" s="220">
        <f t="shared" si="23"/>
        <v>1214.3900000000001</v>
      </c>
      <c r="G26" s="220">
        <f t="shared" si="23"/>
        <v>1214.3900000000001</v>
      </c>
      <c r="H26" s="220">
        <f t="shared" si="23"/>
        <v>1214.3900000000001</v>
      </c>
      <c r="I26" s="220">
        <f t="shared" si="23"/>
        <v>1214.3900000000001</v>
      </c>
      <c r="J26" s="393">
        <f>12600.72/12</f>
        <v>1050.06</v>
      </c>
      <c r="K26" s="220">
        <f>+J26</f>
        <v>1050.06</v>
      </c>
      <c r="L26" s="220">
        <f>+K26</f>
        <v>1050.06</v>
      </c>
      <c r="M26" s="220">
        <f>+L26</f>
        <v>1050.06</v>
      </c>
      <c r="N26" s="367"/>
      <c r="O26" s="367"/>
      <c r="P26" s="91">
        <f>IF(P$23=D$23,D26,IF(P$23=E$23,E26,IF(P$23=F$23,F26,IF(P$23=G$23,G26,IF(P$23=H$23,H26,IF(P$23=I$23,I26,IF(P$23=J$23,J26,IF(P$23=K$23,K26,IF(P$23=L$23,L26,IF(P$23=M$23,M26,666))))))))))</f>
        <v>1214.3900000000001</v>
      </c>
      <c r="Q26" s="367"/>
      <c r="R26" s="367"/>
      <c r="S26" s="367"/>
      <c r="T26" s="369"/>
      <c r="U26" s="367"/>
      <c r="V26" s="367"/>
      <c r="W26" s="367"/>
      <c r="X26" s="367"/>
      <c r="Y26" s="367"/>
      <c r="Z26" s="367"/>
      <c r="AA26" s="367"/>
      <c r="AB26" s="367"/>
      <c r="AC26" s="367"/>
      <c r="AD26" s="367"/>
      <c r="AE26" s="367"/>
      <c r="AF26" s="367"/>
      <c r="AG26" s="367"/>
      <c r="AH26" s="367"/>
      <c r="AI26" s="367"/>
      <c r="AJ26" s="367"/>
      <c r="AK26" s="367"/>
      <c r="AL26" s="367"/>
      <c r="AM26" s="367"/>
      <c r="AN26" s="367"/>
      <c r="AO26" s="367"/>
      <c r="AP26" s="367"/>
      <c r="AQ26" s="367"/>
      <c r="AR26" s="367"/>
      <c r="AS26" s="367"/>
      <c r="AT26" s="367"/>
      <c r="AU26" s="370" t="s">
        <v>266</v>
      </c>
      <c r="AV26" s="413">
        <v>508.49</v>
      </c>
    </row>
    <row r="27" spans="1:50" ht="15" x14ac:dyDescent="0.25">
      <c r="A27" s="367"/>
      <c r="B27" s="367"/>
      <c r="C27" s="352" t="s">
        <v>139</v>
      </c>
      <c r="D27" s="393">
        <v>749.38</v>
      </c>
      <c r="E27" s="220">
        <f t="shared" si="23"/>
        <v>749.38</v>
      </c>
      <c r="F27" s="220">
        <f t="shared" si="23"/>
        <v>749.38</v>
      </c>
      <c r="G27" s="220">
        <f t="shared" si="23"/>
        <v>749.38</v>
      </c>
      <c r="H27" s="220">
        <f t="shared" si="23"/>
        <v>749.38</v>
      </c>
      <c r="I27" s="220">
        <f t="shared" si="23"/>
        <v>749.38</v>
      </c>
      <c r="J27" s="393">
        <v>765.83</v>
      </c>
      <c r="K27" s="220">
        <f>+J27</f>
        <v>765.83</v>
      </c>
      <c r="L27" s="220">
        <f t="shared" ref="L27:M30" si="24">+K27</f>
        <v>765.83</v>
      </c>
      <c r="M27" s="220">
        <f t="shared" si="24"/>
        <v>765.83</v>
      </c>
      <c r="N27" s="367"/>
      <c r="O27" s="367"/>
      <c r="P27" s="91">
        <f>IF(P$23=D$23,D27,IF(P$23=E$23,E27,IF(P$23=F$23,F27,IF(P$23=G$23,G27,IF(P$23=H$23,H27,IF(P$23=I$23,I27,IF(P$23=J$23,J27,IF(P$23=K$23,K27,IF(P$23=L$23,L27,IF(P$23=M$23,M27,666))))))))))</f>
        <v>749.38</v>
      </c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U27" s="370" t="s">
        <v>267</v>
      </c>
      <c r="AV27" s="413">
        <v>383.46999999999997</v>
      </c>
    </row>
    <row r="28" spans="1:50" ht="15" x14ac:dyDescent="0.25">
      <c r="A28" s="367"/>
      <c r="B28" s="367"/>
      <c r="C28" s="353" t="s">
        <v>140</v>
      </c>
      <c r="D28" s="393">
        <f>560.88/12</f>
        <v>46.74</v>
      </c>
      <c r="E28" s="220">
        <f t="shared" si="23"/>
        <v>46.74</v>
      </c>
      <c r="F28" s="220">
        <f t="shared" si="23"/>
        <v>46.74</v>
      </c>
      <c r="G28" s="220">
        <f t="shared" si="23"/>
        <v>46.74</v>
      </c>
      <c r="H28" s="220">
        <f t="shared" si="23"/>
        <v>46.74</v>
      </c>
      <c r="I28" s="220">
        <f t="shared" si="23"/>
        <v>46.74</v>
      </c>
      <c r="J28" s="393">
        <f>457.44/12</f>
        <v>38.119999999999997</v>
      </c>
      <c r="K28" s="220">
        <f>+J28</f>
        <v>38.119999999999997</v>
      </c>
      <c r="L28" s="220">
        <f t="shared" si="24"/>
        <v>38.119999999999997</v>
      </c>
      <c r="M28" s="220">
        <f t="shared" si="24"/>
        <v>38.119999999999997</v>
      </c>
      <c r="N28" s="367"/>
      <c r="O28" s="367"/>
      <c r="P28" s="91">
        <f>IF(P$23=D$23,D28,IF(P$23=E$23,E28,IF(P$23=F$23,F28,IF(P$23=G$23,G28,IF(P$23=H$23,H28,IF(P$23=I$23,I28,IF(P$23=J$23,J28,IF(P$23=K$23,K28,IF(P$23=L$23,L28,IF(P$23=M$23,M28,666))))))))))</f>
        <v>46.74</v>
      </c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U28" s="354" t="s">
        <v>268</v>
      </c>
      <c r="AV28" s="413">
        <v>291.77999999999997</v>
      </c>
    </row>
    <row r="29" spans="1:50" ht="15" x14ac:dyDescent="0.25">
      <c r="A29" s="367"/>
      <c r="B29" s="367"/>
      <c r="C29" s="353" t="s">
        <v>145</v>
      </c>
      <c r="D29" s="393">
        <v>28.85</v>
      </c>
      <c r="E29" s="220">
        <f t="shared" si="23"/>
        <v>28.85</v>
      </c>
      <c r="F29" s="220">
        <f t="shared" si="23"/>
        <v>28.85</v>
      </c>
      <c r="G29" s="220">
        <f t="shared" si="23"/>
        <v>28.85</v>
      </c>
      <c r="H29" s="220">
        <f t="shared" si="23"/>
        <v>28.85</v>
      </c>
      <c r="I29" s="220">
        <f t="shared" si="23"/>
        <v>28.85</v>
      </c>
      <c r="J29" s="393">
        <v>27.79</v>
      </c>
      <c r="K29" s="220">
        <f>+J29</f>
        <v>27.79</v>
      </c>
      <c r="L29" s="220">
        <f t="shared" si="24"/>
        <v>27.79</v>
      </c>
      <c r="M29" s="220">
        <f t="shared" si="24"/>
        <v>27.79</v>
      </c>
      <c r="N29" s="367"/>
      <c r="O29" s="367"/>
      <c r="P29" s="91">
        <f>IF(P$23=D$23,D29,IF(P$23=E$23,E29,IF(P$23=F$23,F29,IF(P$23=G$23,G29,IF(P$23=H$23,H29,IF(P$23=I$23,I29,IF(P$23=J$23,J29,IF(P$23=K$23,K29,IF(P$23=L$23,L29,IF(P$23=M$23,M29,666))))))))))</f>
        <v>28.85</v>
      </c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U29" s="354" t="s">
        <v>269</v>
      </c>
      <c r="AV29" s="413">
        <v>197.73</v>
      </c>
    </row>
    <row r="30" spans="1:50" ht="15" x14ac:dyDescent="0.25">
      <c r="B30" s="367"/>
      <c r="C30" s="355" t="s">
        <v>141</v>
      </c>
      <c r="D30" s="394">
        <f>ROUNDUP(768.16*1.009,2)</f>
        <v>775.08</v>
      </c>
      <c r="E30" s="220">
        <f>+D30</f>
        <v>775.08</v>
      </c>
      <c r="F30" s="394">
        <f>ROUNDUP(641.34*1.009,2)</f>
        <v>647.12</v>
      </c>
      <c r="G30" s="220">
        <f>+F30</f>
        <v>647.12</v>
      </c>
      <c r="H30" s="220">
        <f>+G30</f>
        <v>647.12</v>
      </c>
      <c r="I30" s="220">
        <f>+H30</f>
        <v>647.12</v>
      </c>
      <c r="J30" s="220">
        <f>+I30</f>
        <v>647.12</v>
      </c>
      <c r="K30" s="220">
        <f>+J30</f>
        <v>647.12</v>
      </c>
      <c r="L30" s="394">
        <f>ROUNDUP(520.79*1.009,2)</f>
        <v>525.48</v>
      </c>
      <c r="M30" s="220">
        <f t="shared" si="24"/>
        <v>525.48</v>
      </c>
      <c r="N30" s="367"/>
      <c r="O30" s="367"/>
      <c r="P30" s="91">
        <f t="shared" ref="P30:P48" si="25">IF(P$23=D$23,D30,IF(P$23=E$23,E30,IF(P$23=F$23,F30,IF(P$23=G$23,G30,IF(P$23=H$23,H30,IF(P$23=I$23,I30,IF(P$23=J$23,J30,IF(P$23=K$23,K30,IF(P$23=L$23,L30,IF(P$23=M$23,M30,666))))))))))</f>
        <v>647.12</v>
      </c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U30" s="354" t="s">
        <v>270</v>
      </c>
      <c r="AV30" s="413">
        <v>123.9</v>
      </c>
    </row>
    <row r="31" spans="1:50" ht="15" x14ac:dyDescent="0.25">
      <c r="C31" s="355" t="s">
        <v>146</v>
      </c>
      <c r="D31" s="220">
        <f t="shared" ref="D31:M31" si="26">+D30</f>
        <v>775.08</v>
      </c>
      <c r="E31" s="220">
        <f t="shared" si="26"/>
        <v>775.08</v>
      </c>
      <c r="F31" s="220">
        <f t="shared" si="26"/>
        <v>647.12</v>
      </c>
      <c r="G31" s="220">
        <f t="shared" si="26"/>
        <v>647.12</v>
      </c>
      <c r="H31" s="220">
        <f t="shared" si="26"/>
        <v>647.12</v>
      </c>
      <c r="I31" s="220">
        <f t="shared" si="26"/>
        <v>647.12</v>
      </c>
      <c r="J31" s="220">
        <f t="shared" si="26"/>
        <v>647.12</v>
      </c>
      <c r="K31" s="220">
        <f t="shared" si="26"/>
        <v>647.12</v>
      </c>
      <c r="L31" s="220">
        <f t="shared" si="26"/>
        <v>525.48</v>
      </c>
      <c r="M31" s="220">
        <f t="shared" si="26"/>
        <v>525.48</v>
      </c>
      <c r="N31" s="367"/>
      <c r="O31" s="367"/>
      <c r="P31" s="91">
        <f t="shared" si="25"/>
        <v>647.12</v>
      </c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U31" s="370" t="s">
        <v>271</v>
      </c>
      <c r="AV31" s="413">
        <v>228.67999999999998</v>
      </c>
    </row>
    <row r="32" spans="1:50" ht="15" x14ac:dyDescent="0.25">
      <c r="C32" s="356" t="s">
        <v>142</v>
      </c>
      <c r="D32" s="394">
        <f>ROUNDUP(1501.52*1.009,2)</f>
        <v>1515.04</v>
      </c>
      <c r="E32" s="394">
        <f>ROUNDUP(719.3*1.009,2)</f>
        <v>725.78</v>
      </c>
      <c r="F32" s="394">
        <f>ROUNDUP(666.89*1.009,2)</f>
        <v>672.9</v>
      </c>
      <c r="G32" s="220">
        <f>+F32</f>
        <v>672.9</v>
      </c>
      <c r="H32" s="220">
        <f>+G32</f>
        <v>672.9</v>
      </c>
      <c r="I32" s="220">
        <f>+H32</f>
        <v>672.9</v>
      </c>
      <c r="J32" s="394">
        <f>ROUNDUP(668.91*1.009,2)</f>
        <v>674.93999999999994</v>
      </c>
      <c r="K32" s="220">
        <f>+J32</f>
        <v>674.93999999999994</v>
      </c>
      <c r="L32" s="394">
        <f>ROUNDUP(710.05*1.009,2)</f>
        <v>716.45</v>
      </c>
      <c r="M32" s="394">
        <f>ROUNDUP(789.46*1.009,2)</f>
        <v>796.56999999999994</v>
      </c>
      <c r="N32" s="367"/>
      <c r="O32" s="367"/>
      <c r="P32" s="91">
        <f t="shared" si="25"/>
        <v>672.9</v>
      </c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U32" s="370" t="s">
        <v>272</v>
      </c>
      <c r="AV32" s="413">
        <v>219.17</v>
      </c>
    </row>
    <row r="33" spans="3:48" ht="15" x14ac:dyDescent="0.25">
      <c r="C33" s="357" t="s">
        <v>147</v>
      </c>
      <c r="D33" s="317">
        <f>ROUNDUP(+D32*78%,2)</f>
        <v>1181.74</v>
      </c>
      <c r="E33" s="317">
        <f t="shared" ref="E33:F33" si="27">ROUNDUP(+E32*78%,2)</f>
        <v>566.11</v>
      </c>
      <c r="F33" s="317">
        <f t="shared" si="27"/>
        <v>524.87</v>
      </c>
      <c r="G33" s="317">
        <f>ROUNDUP(+G32*78%,2)</f>
        <v>524.87</v>
      </c>
      <c r="H33" s="317">
        <f t="shared" ref="H33" si="28">ROUNDUP(+H32*78%,2)</f>
        <v>524.87</v>
      </c>
      <c r="I33" s="317">
        <f>ROUNDUP(+I32*78%,2)</f>
        <v>524.87</v>
      </c>
      <c r="J33" s="317">
        <f t="shared" ref="J33" si="29">ROUNDUP(+J32*78%,2)</f>
        <v>526.46</v>
      </c>
      <c r="K33" s="317">
        <f>ROUNDUP(+K32*78%,2)</f>
        <v>526.46</v>
      </c>
      <c r="L33" s="317">
        <f t="shared" ref="L33" si="30">ROUNDUP(+L32*78%,2)</f>
        <v>558.84</v>
      </c>
      <c r="M33" s="317">
        <f>ROUNDUP(+M32*78%,2)</f>
        <v>621.33000000000004</v>
      </c>
      <c r="N33" s="367"/>
      <c r="O33" s="367"/>
      <c r="P33" s="91">
        <f t="shared" si="25"/>
        <v>524.87</v>
      </c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  <c r="AB33" s="367"/>
      <c r="AC33" s="367"/>
      <c r="AD33" s="367"/>
      <c r="AE33" s="367"/>
      <c r="AF33" s="367"/>
      <c r="AG33" s="367"/>
      <c r="AH33" s="367"/>
      <c r="AI33" s="367"/>
      <c r="AJ33" s="367"/>
      <c r="AK33" s="367"/>
      <c r="AL33" s="367"/>
      <c r="AM33" s="367"/>
      <c r="AN33" s="367"/>
      <c r="AO33" s="367"/>
      <c r="AP33" s="367"/>
      <c r="AQ33" s="367"/>
      <c r="AR33" s="367"/>
      <c r="AS33" s="367"/>
      <c r="AU33" s="354" t="s">
        <v>273</v>
      </c>
      <c r="AV33" s="413">
        <v>204.85</v>
      </c>
    </row>
    <row r="34" spans="3:48" ht="15" x14ac:dyDescent="0.25">
      <c r="C34" s="358" t="s">
        <v>148</v>
      </c>
      <c r="D34" s="395">
        <v>55</v>
      </c>
      <c r="E34" s="225">
        <f t="shared" ref="E34:M48" si="31">+D34</f>
        <v>55</v>
      </c>
      <c r="F34" s="225">
        <f t="shared" si="31"/>
        <v>55</v>
      </c>
      <c r="G34" s="225">
        <f t="shared" si="31"/>
        <v>55</v>
      </c>
      <c r="H34" s="225">
        <f t="shared" si="31"/>
        <v>55</v>
      </c>
      <c r="I34" s="225">
        <f t="shared" si="31"/>
        <v>55</v>
      </c>
      <c r="J34" s="225">
        <f t="shared" si="31"/>
        <v>55</v>
      </c>
      <c r="K34" s="225">
        <f t="shared" si="31"/>
        <v>55</v>
      </c>
      <c r="L34" s="220">
        <f t="shared" si="31"/>
        <v>55</v>
      </c>
      <c r="M34" s="220">
        <f t="shared" si="31"/>
        <v>55</v>
      </c>
      <c r="N34" s="367"/>
      <c r="O34" s="367"/>
      <c r="P34" s="91">
        <f t="shared" si="25"/>
        <v>55</v>
      </c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7"/>
      <c r="AE34" s="367"/>
      <c r="AF34" s="367"/>
      <c r="AG34" s="367"/>
      <c r="AH34" s="367"/>
      <c r="AI34" s="367"/>
      <c r="AJ34" s="367"/>
      <c r="AK34" s="367"/>
      <c r="AL34" s="367"/>
      <c r="AM34" s="367"/>
      <c r="AN34" s="367"/>
      <c r="AO34" s="367"/>
      <c r="AP34" s="367"/>
      <c r="AQ34" s="367"/>
      <c r="AR34" s="367"/>
      <c r="AS34" s="367"/>
      <c r="AU34" s="370" t="s">
        <v>274</v>
      </c>
      <c r="AV34" s="413">
        <v>159.60999999999999</v>
      </c>
    </row>
    <row r="35" spans="3:48" ht="15" x14ac:dyDescent="0.25">
      <c r="C35" s="358" t="s">
        <v>153</v>
      </c>
      <c r="D35" s="395">
        <f>ROUNDUP(+D34*78%,2)</f>
        <v>42.9</v>
      </c>
      <c r="E35" s="225">
        <f t="shared" si="31"/>
        <v>42.9</v>
      </c>
      <c r="F35" s="225">
        <f t="shared" si="31"/>
        <v>42.9</v>
      </c>
      <c r="G35" s="225">
        <f t="shared" si="31"/>
        <v>42.9</v>
      </c>
      <c r="H35" s="225">
        <f t="shared" si="31"/>
        <v>42.9</v>
      </c>
      <c r="I35" s="225">
        <f t="shared" si="31"/>
        <v>42.9</v>
      </c>
      <c r="J35" s="225">
        <f t="shared" si="31"/>
        <v>42.9</v>
      </c>
      <c r="K35" s="225">
        <f t="shared" si="31"/>
        <v>42.9</v>
      </c>
      <c r="L35" s="220">
        <f t="shared" si="31"/>
        <v>42.9</v>
      </c>
      <c r="M35" s="220">
        <f t="shared" si="31"/>
        <v>42.9</v>
      </c>
      <c r="N35" s="367"/>
      <c r="O35" s="367"/>
      <c r="P35" s="91">
        <f t="shared" si="25"/>
        <v>42.9</v>
      </c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7"/>
      <c r="AE35" s="367"/>
      <c r="AF35" s="367"/>
      <c r="AG35" s="367"/>
      <c r="AH35" s="367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U35" s="354" t="s">
        <v>275</v>
      </c>
      <c r="AV35" s="413">
        <v>228.67999999999998</v>
      </c>
    </row>
    <row r="36" spans="3:48" ht="15" x14ac:dyDescent="0.25">
      <c r="C36" s="358" t="s">
        <v>149</v>
      </c>
      <c r="D36" s="395">
        <v>119</v>
      </c>
      <c r="E36" s="225">
        <f t="shared" si="31"/>
        <v>119</v>
      </c>
      <c r="F36" s="225">
        <f t="shared" si="31"/>
        <v>119</v>
      </c>
      <c r="G36" s="225">
        <f t="shared" si="31"/>
        <v>119</v>
      </c>
      <c r="H36" s="225">
        <f t="shared" si="31"/>
        <v>119</v>
      </c>
      <c r="I36" s="225">
        <f t="shared" si="31"/>
        <v>119</v>
      </c>
      <c r="J36" s="225">
        <f t="shared" si="31"/>
        <v>119</v>
      </c>
      <c r="K36" s="225">
        <f t="shared" si="31"/>
        <v>119</v>
      </c>
      <c r="L36" s="220">
        <f t="shared" si="31"/>
        <v>119</v>
      </c>
      <c r="M36" s="220">
        <f t="shared" si="31"/>
        <v>119</v>
      </c>
      <c r="N36" s="367"/>
      <c r="O36" s="367"/>
      <c r="P36" s="91">
        <f t="shared" si="25"/>
        <v>119</v>
      </c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  <c r="AG36" s="367"/>
      <c r="AH36" s="367"/>
      <c r="AI36" s="367"/>
      <c r="AJ36" s="367"/>
      <c r="AK36" s="367"/>
      <c r="AL36" s="367"/>
      <c r="AM36" s="367"/>
      <c r="AN36" s="367"/>
      <c r="AO36" s="367"/>
      <c r="AP36" s="367"/>
      <c r="AQ36" s="367"/>
      <c r="AR36" s="367"/>
      <c r="AS36" s="367"/>
      <c r="AU36" s="370" t="s">
        <v>276</v>
      </c>
      <c r="AV36" s="413">
        <v>219.17</v>
      </c>
    </row>
    <row r="37" spans="3:48" ht="15" x14ac:dyDescent="0.25">
      <c r="C37" s="358" t="s">
        <v>154</v>
      </c>
      <c r="D37" s="395">
        <f>+D36*78%</f>
        <v>92.820000000000007</v>
      </c>
      <c r="E37" s="225">
        <f t="shared" si="31"/>
        <v>92.820000000000007</v>
      </c>
      <c r="F37" s="225">
        <f t="shared" si="31"/>
        <v>92.820000000000007</v>
      </c>
      <c r="G37" s="225">
        <f t="shared" si="31"/>
        <v>92.820000000000007</v>
      </c>
      <c r="H37" s="225">
        <f t="shared" si="31"/>
        <v>92.820000000000007</v>
      </c>
      <c r="I37" s="225">
        <f t="shared" si="31"/>
        <v>92.820000000000007</v>
      </c>
      <c r="J37" s="225">
        <f t="shared" si="31"/>
        <v>92.820000000000007</v>
      </c>
      <c r="K37" s="225">
        <f t="shared" si="31"/>
        <v>92.820000000000007</v>
      </c>
      <c r="L37" s="220">
        <f t="shared" si="31"/>
        <v>92.820000000000007</v>
      </c>
      <c r="M37" s="220">
        <f t="shared" si="31"/>
        <v>92.820000000000007</v>
      </c>
      <c r="N37" s="367"/>
      <c r="O37" s="367"/>
      <c r="P37" s="91">
        <f t="shared" si="25"/>
        <v>92.820000000000007</v>
      </c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  <c r="AB37" s="367"/>
      <c r="AC37" s="367"/>
      <c r="AD37" s="367"/>
      <c r="AE37" s="367"/>
      <c r="AF37" s="367"/>
      <c r="AG37" s="367"/>
      <c r="AH37" s="367"/>
      <c r="AI37" s="367"/>
      <c r="AJ37" s="367"/>
      <c r="AK37" s="367"/>
      <c r="AL37" s="367"/>
      <c r="AM37" s="367"/>
      <c r="AN37" s="367"/>
      <c r="AO37" s="367"/>
      <c r="AP37" s="367"/>
      <c r="AQ37" s="367"/>
      <c r="AR37" s="367"/>
      <c r="AS37" s="367"/>
      <c r="AU37" s="370" t="s">
        <v>277</v>
      </c>
      <c r="AV37" s="413">
        <v>204.85</v>
      </c>
    </row>
    <row r="38" spans="3:48" ht="15" x14ac:dyDescent="0.25">
      <c r="C38" s="358" t="s">
        <v>150</v>
      </c>
      <c r="D38" s="395">
        <v>239</v>
      </c>
      <c r="E38" s="225">
        <f t="shared" si="31"/>
        <v>239</v>
      </c>
      <c r="F38" s="225">
        <f t="shared" si="31"/>
        <v>239</v>
      </c>
      <c r="G38" s="225">
        <f t="shared" si="31"/>
        <v>239</v>
      </c>
      <c r="H38" s="225">
        <f t="shared" si="31"/>
        <v>239</v>
      </c>
      <c r="I38" s="225">
        <f t="shared" si="31"/>
        <v>239</v>
      </c>
      <c r="J38" s="225">
        <f t="shared" si="31"/>
        <v>239</v>
      </c>
      <c r="K38" s="225">
        <f t="shared" si="31"/>
        <v>239</v>
      </c>
      <c r="L38" s="220">
        <f t="shared" si="31"/>
        <v>239</v>
      </c>
      <c r="M38" s="220">
        <f t="shared" si="31"/>
        <v>239</v>
      </c>
      <c r="N38" s="367"/>
      <c r="O38" s="367"/>
      <c r="P38" s="91">
        <f t="shared" si="25"/>
        <v>239</v>
      </c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U38" s="370" t="s">
        <v>278</v>
      </c>
      <c r="AV38" s="413">
        <v>159.60999999999999</v>
      </c>
    </row>
    <row r="39" spans="3:48" ht="15" x14ac:dyDescent="0.25">
      <c r="C39" s="358" t="s">
        <v>155</v>
      </c>
      <c r="D39" s="395">
        <f>+D38*78%</f>
        <v>186.42000000000002</v>
      </c>
      <c r="E39" s="225">
        <f t="shared" si="31"/>
        <v>186.42000000000002</v>
      </c>
      <c r="F39" s="225">
        <f t="shared" si="31"/>
        <v>186.42000000000002</v>
      </c>
      <c r="G39" s="225">
        <f t="shared" si="31"/>
        <v>186.42000000000002</v>
      </c>
      <c r="H39" s="225">
        <f t="shared" si="31"/>
        <v>186.42000000000002</v>
      </c>
      <c r="I39" s="225">
        <f t="shared" si="31"/>
        <v>186.42000000000002</v>
      </c>
      <c r="J39" s="225">
        <f t="shared" si="31"/>
        <v>186.42000000000002</v>
      </c>
      <c r="K39" s="225">
        <f t="shared" si="31"/>
        <v>186.42000000000002</v>
      </c>
      <c r="L39" s="220">
        <f t="shared" si="31"/>
        <v>186.42000000000002</v>
      </c>
      <c r="M39" s="220">
        <f t="shared" si="31"/>
        <v>186.42000000000002</v>
      </c>
      <c r="N39" s="367"/>
      <c r="O39" s="367"/>
      <c r="P39" s="91">
        <f t="shared" si="25"/>
        <v>186.42000000000002</v>
      </c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367"/>
      <c r="AS39" s="367"/>
      <c r="AU39" s="370" t="s">
        <v>279</v>
      </c>
      <c r="AV39" s="413">
        <v>107.21000000000001</v>
      </c>
    </row>
    <row r="40" spans="3:48" ht="15" x14ac:dyDescent="0.25">
      <c r="C40" s="358" t="s">
        <v>151</v>
      </c>
      <c r="D40" s="395">
        <v>383</v>
      </c>
      <c r="E40" s="225">
        <f t="shared" si="31"/>
        <v>383</v>
      </c>
      <c r="F40" s="225">
        <f t="shared" si="31"/>
        <v>383</v>
      </c>
      <c r="G40" s="225">
        <f t="shared" si="31"/>
        <v>383</v>
      </c>
      <c r="H40" s="225">
        <f t="shared" si="31"/>
        <v>383</v>
      </c>
      <c r="I40" s="225">
        <f t="shared" si="31"/>
        <v>383</v>
      </c>
      <c r="J40" s="225">
        <f t="shared" si="31"/>
        <v>383</v>
      </c>
      <c r="K40" s="225">
        <f t="shared" si="31"/>
        <v>383</v>
      </c>
      <c r="L40" s="220">
        <f t="shared" si="31"/>
        <v>383</v>
      </c>
      <c r="M40" s="220">
        <f t="shared" si="31"/>
        <v>383</v>
      </c>
      <c r="N40" s="367"/>
      <c r="O40" s="367"/>
      <c r="P40" s="91">
        <f t="shared" si="25"/>
        <v>383</v>
      </c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367"/>
      <c r="AI40" s="367"/>
      <c r="AJ40" s="367"/>
      <c r="AK40" s="367"/>
      <c r="AL40" s="367"/>
      <c r="AM40" s="367"/>
      <c r="AN40" s="367"/>
      <c r="AO40" s="367"/>
      <c r="AP40" s="367"/>
      <c r="AQ40" s="367"/>
      <c r="AR40" s="367"/>
      <c r="AS40" s="367"/>
      <c r="AU40" s="370" t="s">
        <v>280</v>
      </c>
      <c r="AV40" s="413">
        <v>228.67999999999998</v>
      </c>
    </row>
    <row r="41" spans="3:48" ht="15" x14ac:dyDescent="0.25">
      <c r="C41" s="358" t="s">
        <v>156</v>
      </c>
      <c r="D41" s="395">
        <f>+D40*78%</f>
        <v>298.74</v>
      </c>
      <c r="E41" s="225">
        <f t="shared" si="31"/>
        <v>298.74</v>
      </c>
      <c r="F41" s="225">
        <f t="shared" si="31"/>
        <v>298.74</v>
      </c>
      <c r="G41" s="225">
        <f t="shared" si="31"/>
        <v>298.74</v>
      </c>
      <c r="H41" s="225">
        <f t="shared" si="31"/>
        <v>298.74</v>
      </c>
      <c r="I41" s="225">
        <f t="shared" si="31"/>
        <v>298.74</v>
      </c>
      <c r="J41" s="225">
        <f t="shared" si="31"/>
        <v>298.74</v>
      </c>
      <c r="K41" s="225">
        <f t="shared" si="31"/>
        <v>298.74</v>
      </c>
      <c r="L41" s="220">
        <f t="shared" si="31"/>
        <v>298.74</v>
      </c>
      <c r="M41" s="220">
        <f t="shared" si="31"/>
        <v>298.74</v>
      </c>
      <c r="N41" s="367"/>
      <c r="O41" s="367"/>
      <c r="P41" s="91">
        <f t="shared" si="25"/>
        <v>298.74</v>
      </c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U41" s="370" t="s">
        <v>281</v>
      </c>
      <c r="AV41" s="413">
        <v>219.17</v>
      </c>
    </row>
    <row r="42" spans="3:48" ht="15" x14ac:dyDescent="0.25">
      <c r="C42" s="358" t="s">
        <v>152</v>
      </c>
      <c r="D42" s="395">
        <v>453</v>
      </c>
      <c r="E42" s="225">
        <f t="shared" si="31"/>
        <v>453</v>
      </c>
      <c r="F42" s="225">
        <f t="shared" si="31"/>
        <v>453</v>
      </c>
      <c r="G42" s="225">
        <f t="shared" si="31"/>
        <v>453</v>
      </c>
      <c r="H42" s="225">
        <f t="shared" si="31"/>
        <v>453</v>
      </c>
      <c r="I42" s="225">
        <f t="shared" si="31"/>
        <v>453</v>
      </c>
      <c r="J42" s="225">
        <f t="shared" si="31"/>
        <v>453</v>
      </c>
      <c r="K42" s="225">
        <f t="shared" si="31"/>
        <v>453</v>
      </c>
      <c r="L42" s="220">
        <f t="shared" si="31"/>
        <v>453</v>
      </c>
      <c r="M42" s="220">
        <f t="shared" si="31"/>
        <v>453</v>
      </c>
      <c r="N42" s="367"/>
      <c r="O42" s="367"/>
      <c r="P42" s="91">
        <f t="shared" si="25"/>
        <v>453</v>
      </c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67"/>
      <c r="AC42" s="367"/>
      <c r="AD42" s="367"/>
      <c r="AE42" s="367"/>
      <c r="AF42" s="367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  <c r="AS42" s="367"/>
      <c r="AU42" s="354" t="s">
        <v>282</v>
      </c>
      <c r="AV42" s="413">
        <v>204.85</v>
      </c>
    </row>
    <row r="43" spans="3:48" ht="15" x14ac:dyDescent="0.25">
      <c r="C43" s="358" t="s">
        <v>157</v>
      </c>
      <c r="D43" s="395">
        <f>+D42*78%</f>
        <v>353.34000000000003</v>
      </c>
      <c r="E43" s="225">
        <f t="shared" si="31"/>
        <v>353.34000000000003</v>
      </c>
      <c r="F43" s="225">
        <f t="shared" si="31"/>
        <v>353.34000000000003</v>
      </c>
      <c r="G43" s="225">
        <f t="shared" si="31"/>
        <v>353.34000000000003</v>
      </c>
      <c r="H43" s="225">
        <f t="shared" si="31"/>
        <v>353.34000000000003</v>
      </c>
      <c r="I43" s="225">
        <f t="shared" si="31"/>
        <v>353.34000000000003</v>
      </c>
      <c r="J43" s="225">
        <f t="shared" si="31"/>
        <v>353.34000000000003</v>
      </c>
      <c r="K43" s="225">
        <f t="shared" si="31"/>
        <v>353.34000000000003</v>
      </c>
      <c r="L43" s="220">
        <f t="shared" si="31"/>
        <v>353.34000000000003</v>
      </c>
      <c r="M43" s="220">
        <f t="shared" si="31"/>
        <v>353.34000000000003</v>
      </c>
      <c r="N43" s="367"/>
      <c r="O43" s="367"/>
      <c r="P43" s="91">
        <f t="shared" si="25"/>
        <v>353.34000000000003</v>
      </c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  <c r="AB43" s="367"/>
      <c r="AC43" s="367"/>
      <c r="AD43" s="367"/>
      <c r="AE43" s="367"/>
      <c r="AF43" s="367"/>
      <c r="AG43" s="367"/>
      <c r="AH43" s="367"/>
      <c r="AI43" s="367"/>
      <c r="AJ43" s="367"/>
      <c r="AK43" s="367"/>
      <c r="AL43" s="367"/>
      <c r="AM43" s="367"/>
      <c r="AN43" s="367"/>
      <c r="AO43" s="367"/>
      <c r="AP43" s="367"/>
      <c r="AQ43" s="367"/>
      <c r="AR43" s="367"/>
      <c r="AS43" s="367"/>
      <c r="AU43" s="371" t="s">
        <v>284</v>
      </c>
      <c r="AV43" s="413">
        <v>700.47</v>
      </c>
    </row>
    <row r="44" spans="3:48" ht="15" x14ac:dyDescent="0.25">
      <c r="C44" s="359" t="s">
        <v>283</v>
      </c>
      <c r="D44" s="394">
        <f>ROUNDUP(176.69*1.009,2)</f>
        <v>178.29</v>
      </c>
      <c r="E44" s="394">
        <f>ROUNDUP(159.08*1.009,2)</f>
        <v>160.51999999999998</v>
      </c>
      <c r="F44" s="394">
        <f>ROUNDUP(141.39*1.009,2)</f>
        <v>142.66999999999999</v>
      </c>
      <c r="G44" s="225">
        <f t="shared" si="31"/>
        <v>142.66999999999999</v>
      </c>
      <c r="H44" s="225">
        <f t="shared" si="31"/>
        <v>142.66999999999999</v>
      </c>
      <c r="I44" s="225">
        <f t="shared" si="31"/>
        <v>142.66999999999999</v>
      </c>
      <c r="J44" s="394">
        <f>ROUNDUP(127.27*1.009,2)</f>
        <v>128.41999999999999</v>
      </c>
      <c r="K44" s="225">
        <f>+J44</f>
        <v>128.41999999999999</v>
      </c>
      <c r="L44" s="220">
        <f t="shared" si="31"/>
        <v>128.41999999999999</v>
      </c>
      <c r="M44" s="220">
        <f t="shared" si="31"/>
        <v>128.41999999999999</v>
      </c>
      <c r="N44" s="367"/>
      <c r="O44" s="367"/>
      <c r="P44" s="91">
        <f t="shared" si="25"/>
        <v>142.66999999999999</v>
      </c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  <c r="AB44" s="367"/>
      <c r="AC44" s="367"/>
      <c r="AD44" s="367"/>
      <c r="AE44" s="367"/>
      <c r="AF44" s="367"/>
      <c r="AG44" s="367"/>
      <c r="AH44" s="367"/>
      <c r="AI44" s="367"/>
      <c r="AJ44" s="367"/>
      <c r="AK44" s="367"/>
      <c r="AL44" s="367"/>
      <c r="AM44" s="367"/>
      <c r="AN44" s="367"/>
      <c r="AO44" s="367"/>
      <c r="AP44" s="367"/>
      <c r="AQ44" s="367"/>
      <c r="AR44" s="367"/>
      <c r="AS44" s="367"/>
      <c r="AU44" s="371" t="s">
        <v>286</v>
      </c>
      <c r="AV44" s="413">
        <v>623.09</v>
      </c>
    </row>
    <row r="45" spans="3:48" ht="15" x14ac:dyDescent="0.25">
      <c r="C45" s="360" t="s">
        <v>285</v>
      </c>
      <c r="D45" s="394">
        <f>ROUNDUP(588.76*1.009,2)</f>
        <v>594.05999999999995</v>
      </c>
      <c r="E45" s="394">
        <f>ROUNDUP(529.91*1.009,2)</f>
        <v>534.67999999999995</v>
      </c>
      <c r="F45" s="394">
        <f>ROUNDUP(471.02*1.009,2)</f>
        <v>475.26</v>
      </c>
      <c r="G45" s="225">
        <f t="shared" si="31"/>
        <v>475.26</v>
      </c>
      <c r="H45" s="225">
        <f t="shared" si="31"/>
        <v>475.26</v>
      </c>
      <c r="I45" s="225">
        <f t="shared" si="31"/>
        <v>475.26</v>
      </c>
      <c r="J45" s="394">
        <f>ROUNDUP(423.92*1.009,2)</f>
        <v>427.74</v>
      </c>
      <c r="K45" s="225">
        <f>+J45</f>
        <v>427.74</v>
      </c>
      <c r="L45" s="220">
        <f t="shared" si="31"/>
        <v>427.74</v>
      </c>
      <c r="M45" s="220">
        <f t="shared" si="31"/>
        <v>427.74</v>
      </c>
      <c r="N45" s="367"/>
      <c r="O45" s="367"/>
      <c r="P45" s="91">
        <f t="shared" si="25"/>
        <v>475.26</v>
      </c>
      <c r="Q45" s="367"/>
      <c r="R45" s="367"/>
      <c r="S45" s="367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7"/>
      <c r="AN45" s="367"/>
      <c r="AO45" s="367"/>
      <c r="AP45" s="367"/>
      <c r="AQ45" s="367"/>
      <c r="AR45" s="367"/>
      <c r="AS45" s="367"/>
      <c r="AU45" s="371" t="s">
        <v>287</v>
      </c>
      <c r="AV45" s="413">
        <v>561.12</v>
      </c>
    </row>
    <row r="46" spans="3:48" ht="15" x14ac:dyDescent="0.25">
      <c r="C46" s="361" t="s">
        <v>24</v>
      </c>
      <c r="D46" s="394">
        <f>ROUNDUP(41.34*1.009,2)</f>
        <v>41.72</v>
      </c>
      <c r="E46" s="394">
        <f>ROUNDUP(37.19*1.009,2)</f>
        <v>37.53</v>
      </c>
      <c r="F46" s="394">
        <f>ROUNDUP(33.12*1.009,2)</f>
        <v>33.419999999999995</v>
      </c>
      <c r="G46" s="225">
        <f t="shared" si="31"/>
        <v>33.419999999999995</v>
      </c>
      <c r="H46" s="225">
        <f t="shared" si="31"/>
        <v>33.419999999999995</v>
      </c>
      <c r="I46" s="225">
        <f t="shared" si="31"/>
        <v>33.419999999999995</v>
      </c>
      <c r="J46" s="394">
        <f>ROUNDUP(29.78*1.009,2)</f>
        <v>30.05</v>
      </c>
      <c r="K46" s="225">
        <f>+J46</f>
        <v>30.05</v>
      </c>
      <c r="L46" s="220">
        <f t="shared" si="31"/>
        <v>30.05</v>
      </c>
      <c r="M46" s="220">
        <f t="shared" si="31"/>
        <v>30.05</v>
      </c>
      <c r="N46" s="367"/>
      <c r="O46" s="367"/>
      <c r="P46" s="91">
        <f t="shared" si="25"/>
        <v>33.419999999999995</v>
      </c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U46" s="371" t="s">
        <v>288</v>
      </c>
      <c r="AV46" s="413">
        <v>511.08</v>
      </c>
    </row>
    <row r="47" spans="3:48" ht="15" x14ac:dyDescent="0.25">
      <c r="C47" s="362" t="s">
        <v>26</v>
      </c>
      <c r="D47" s="396">
        <f>ROUNDUP(48.99*1.009,2)</f>
        <v>49.44</v>
      </c>
      <c r="E47" s="225">
        <f>+D47</f>
        <v>49.44</v>
      </c>
      <c r="F47" s="225">
        <f>+E47</f>
        <v>49.44</v>
      </c>
      <c r="G47" s="225">
        <f t="shared" si="31"/>
        <v>49.44</v>
      </c>
      <c r="H47" s="225">
        <f t="shared" si="31"/>
        <v>49.44</v>
      </c>
      <c r="I47" s="225">
        <f t="shared" si="31"/>
        <v>49.44</v>
      </c>
      <c r="J47" s="396">
        <f>ROUNDUP(38.56*1.009,2)</f>
        <v>38.909999999999997</v>
      </c>
      <c r="K47" s="225">
        <f>+J47</f>
        <v>38.909999999999997</v>
      </c>
      <c r="L47" s="220">
        <f t="shared" si="31"/>
        <v>38.909999999999997</v>
      </c>
      <c r="M47" s="220">
        <f t="shared" si="31"/>
        <v>38.909999999999997</v>
      </c>
      <c r="N47" s="367"/>
      <c r="O47" s="367"/>
      <c r="P47" s="91">
        <f t="shared" si="25"/>
        <v>49.44</v>
      </c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U47" s="371" t="s">
        <v>289</v>
      </c>
      <c r="AV47" s="413">
        <v>344.34999999999997</v>
      </c>
    </row>
    <row r="48" spans="3:48" ht="15" x14ac:dyDescent="0.25">
      <c r="C48" s="363" t="s">
        <v>27</v>
      </c>
      <c r="D48" s="397">
        <v>112.91</v>
      </c>
      <c r="E48" s="225">
        <f>+D48</f>
        <v>112.91</v>
      </c>
      <c r="F48" s="225">
        <f>+E48</f>
        <v>112.91</v>
      </c>
      <c r="G48" s="225">
        <f t="shared" si="31"/>
        <v>112.91</v>
      </c>
      <c r="H48" s="225">
        <f t="shared" si="31"/>
        <v>112.91</v>
      </c>
      <c r="I48" s="225">
        <f t="shared" si="31"/>
        <v>112.91</v>
      </c>
      <c r="J48" s="398">
        <v>88.86</v>
      </c>
      <c r="K48" s="225">
        <f>+J48</f>
        <v>88.86</v>
      </c>
      <c r="L48" s="220">
        <f t="shared" si="31"/>
        <v>88.86</v>
      </c>
      <c r="M48" s="220">
        <f t="shared" si="31"/>
        <v>88.86</v>
      </c>
      <c r="N48" s="367"/>
      <c r="O48" s="367"/>
      <c r="P48" s="91">
        <f t="shared" si="25"/>
        <v>112.91</v>
      </c>
      <c r="Q48" s="367"/>
      <c r="R48" s="367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7"/>
      <c r="AE48" s="367"/>
      <c r="AF48" s="367"/>
      <c r="AG48" s="367"/>
      <c r="AH48" s="367"/>
      <c r="AI48" s="367"/>
      <c r="AJ48" s="367"/>
      <c r="AK48" s="367"/>
      <c r="AL48" s="367"/>
      <c r="AM48" s="367"/>
      <c r="AN48" s="367"/>
      <c r="AO48" s="367"/>
      <c r="AP48" s="367"/>
      <c r="AQ48" s="367"/>
      <c r="AR48" s="367"/>
      <c r="AS48" s="367"/>
      <c r="AU48" s="364" t="s">
        <v>290</v>
      </c>
      <c r="AV48" s="413">
        <v>330.03999999999996</v>
      </c>
    </row>
    <row r="49" spans="3:48" ht="15" x14ac:dyDescent="0.25">
      <c r="C49" s="367"/>
      <c r="D49" s="367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7"/>
      <c r="AE49" s="367"/>
      <c r="AF49" s="367"/>
      <c r="AG49" s="367"/>
      <c r="AH49" s="367"/>
      <c r="AI49" s="367"/>
      <c r="AJ49" s="367"/>
      <c r="AK49" s="367"/>
      <c r="AL49" s="367"/>
      <c r="AM49" s="367"/>
      <c r="AN49" s="367"/>
      <c r="AO49" s="367"/>
      <c r="AP49" s="367"/>
      <c r="AQ49" s="367"/>
      <c r="AR49" s="367"/>
      <c r="AS49" s="367"/>
      <c r="AU49" s="364" t="s">
        <v>291</v>
      </c>
      <c r="AV49" s="413">
        <v>256.17</v>
      </c>
    </row>
    <row r="50" spans="3:48" ht="15" x14ac:dyDescent="0.25">
      <c r="C50" s="367"/>
      <c r="D50" s="367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50" t="s">
        <v>10</v>
      </c>
      <c r="P50" s="341">
        <f>INT(+[3]Nóminab!C7/3)</f>
        <v>9</v>
      </c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7"/>
      <c r="AE50" s="367"/>
      <c r="AF50" s="367"/>
      <c r="AG50" s="367"/>
      <c r="AH50" s="367"/>
      <c r="AI50" s="367"/>
      <c r="AJ50" s="367"/>
      <c r="AK50" s="367"/>
      <c r="AL50" s="367"/>
      <c r="AM50" s="367"/>
      <c r="AN50" s="367"/>
      <c r="AO50" s="367"/>
      <c r="AP50" s="367"/>
      <c r="AQ50" s="367"/>
      <c r="AR50" s="367"/>
      <c r="AS50" s="367"/>
      <c r="AU50" s="364" t="s">
        <v>292</v>
      </c>
      <c r="AV50" s="413">
        <v>204.95999999999998</v>
      </c>
    </row>
    <row r="51" spans="3:48" ht="15" x14ac:dyDescent="0.25"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50" t="s">
        <v>102</v>
      </c>
      <c r="P51" s="350">
        <f>INT(+[3]Nóminab!C7/6)</f>
        <v>4</v>
      </c>
      <c r="Q51" s="367"/>
      <c r="R51" s="367"/>
      <c r="S51" s="367"/>
      <c r="T51" s="367"/>
      <c r="U51" s="367"/>
      <c r="V51" s="367"/>
      <c r="W51" s="367"/>
      <c r="X51" s="367"/>
      <c r="Y51" s="367"/>
      <c r="Z51" s="367"/>
      <c r="AA51" s="367"/>
      <c r="AB51" s="367"/>
      <c r="AC51" s="367"/>
      <c r="AD51" s="367"/>
      <c r="AE51" s="367"/>
      <c r="AF51" s="367"/>
      <c r="AG51" s="367"/>
      <c r="AH51" s="367"/>
      <c r="AI51" s="367"/>
      <c r="AJ51" s="367"/>
      <c r="AK51" s="367"/>
      <c r="AL51" s="367"/>
      <c r="AM51" s="367"/>
      <c r="AN51" s="367"/>
      <c r="AO51" s="367"/>
      <c r="AP51" s="367"/>
      <c r="AQ51" s="367"/>
      <c r="AR51" s="367"/>
      <c r="AS51" s="367"/>
      <c r="AU51" s="364" t="s">
        <v>293</v>
      </c>
      <c r="AV51" s="413">
        <v>344.34999999999997</v>
      </c>
    </row>
    <row r="52" spans="3:48" ht="15" x14ac:dyDescent="0.25">
      <c r="C52" s="367"/>
      <c r="D52"/>
      <c r="E52" s="367"/>
      <c r="F52"/>
      <c r="G52" s="367"/>
      <c r="H52" s="367"/>
      <c r="I52" s="367"/>
      <c r="J52" s="367"/>
      <c r="K52" s="367"/>
      <c r="L52"/>
      <c r="M52" s="367"/>
      <c r="N52" s="367"/>
      <c r="O52" s="350" t="s">
        <v>162</v>
      </c>
      <c r="P52" s="372" t="str">
        <f>+[3]Nóminab!C13</f>
        <v>N</v>
      </c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367"/>
      <c r="AD52" s="367"/>
      <c r="AE52" s="367"/>
      <c r="AF52" s="367"/>
      <c r="AG52" s="367"/>
      <c r="AH52" s="367"/>
      <c r="AI52" s="367"/>
      <c r="AJ52" s="367"/>
      <c r="AK52" s="367"/>
      <c r="AL52" s="367"/>
      <c r="AM52" s="367"/>
      <c r="AN52" s="367"/>
      <c r="AO52" s="367"/>
      <c r="AP52" s="367"/>
      <c r="AQ52" s="367"/>
      <c r="AR52" s="367"/>
      <c r="AS52" s="367"/>
      <c r="AU52" s="364" t="s">
        <v>294</v>
      </c>
      <c r="AV52" s="413">
        <v>330.03999999999996</v>
      </c>
    </row>
    <row r="53" spans="3:48" ht="15" x14ac:dyDescent="0.25"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  <c r="AB53" s="367"/>
      <c r="AC53" s="367"/>
      <c r="AD53" s="367"/>
      <c r="AE53" s="367"/>
      <c r="AF53" s="367"/>
      <c r="AG53" s="367"/>
      <c r="AH53" s="367"/>
      <c r="AI53" s="367"/>
      <c r="AJ53" s="367"/>
      <c r="AK53" s="367"/>
      <c r="AL53" s="367"/>
      <c r="AM53" s="367"/>
      <c r="AN53" s="367"/>
      <c r="AO53" s="367"/>
      <c r="AP53" s="367"/>
      <c r="AQ53" s="367"/>
      <c r="AR53" s="367"/>
      <c r="AS53" s="367"/>
      <c r="AU53" s="371" t="s">
        <v>295</v>
      </c>
      <c r="AV53" s="413">
        <v>256.17</v>
      </c>
    </row>
    <row r="54" spans="3:48" ht="15" x14ac:dyDescent="0.25"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 t="s">
        <v>327</v>
      </c>
      <c r="P54" s="367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46728.4</v>
      </c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  <c r="AB54" s="367"/>
      <c r="AC54" s="367"/>
      <c r="AD54" s="367"/>
      <c r="AE54" s="367"/>
      <c r="AF54" s="367"/>
      <c r="AG54" s="367"/>
      <c r="AH54" s="367"/>
      <c r="AI54" s="367"/>
      <c r="AJ54" s="367"/>
      <c r="AK54" s="367"/>
      <c r="AL54" s="367"/>
      <c r="AM54" s="367"/>
      <c r="AN54" s="367"/>
      <c r="AO54" s="367"/>
      <c r="AP54" s="367"/>
      <c r="AQ54" s="367"/>
      <c r="AR54" s="367"/>
      <c r="AS54" s="367"/>
      <c r="AU54" s="371" t="s">
        <v>296</v>
      </c>
      <c r="AV54" s="413">
        <v>204.95999999999998</v>
      </c>
    </row>
    <row r="55" spans="3:48" ht="15" x14ac:dyDescent="0.25"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  <c r="N55" s="367"/>
      <c r="O55" s="367"/>
      <c r="P55" s="367">
        <f>(+P26+P30+P32+(P28*P50)+(IF(P51=1,P34,IF(P51=2,P36,IF(P51=3,P38,IF(P51=4,P40,IF(P51&gt;4,P42,0)))))))*1</f>
        <v>3338.07</v>
      </c>
      <c r="Q55" s="367">
        <f>+P55+P57</f>
        <v>3480.7400000000002</v>
      </c>
      <c r="R55" s="367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7"/>
      <c r="AI55" s="367"/>
      <c r="AJ55" s="367"/>
      <c r="AK55" s="367"/>
      <c r="AL55" s="367"/>
      <c r="AM55" s="367"/>
      <c r="AN55" s="367"/>
      <c r="AO55" s="367"/>
      <c r="AP55" s="367"/>
      <c r="AQ55" s="367"/>
      <c r="AR55" s="367"/>
      <c r="AS55" s="367"/>
      <c r="AU55" s="371" t="s">
        <v>297</v>
      </c>
      <c r="AV55" s="413">
        <v>344.34999999999997</v>
      </c>
    </row>
    <row r="56" spans="3:48" ht="15" x14ac:dyDescent="0.25"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>
        <f>((P27+P31+P33+(P29*P50)+(IF(P51=1,P34*0.78,IF(P51=2,P36*0.78,IF(P51=3,P38*0.78,IF(P51=4,P40*0.78,IF(P51&gt;4,P42*0.78,0)))))))*1)</f>
        <v>2479.7600000000002</v>
      </c>
      <c r="Q56" s="367"/>
      <c r="R56" s="367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N56" s="367"/>
      <c r="AO56" s="367"/>
      <c r="AP56" s="367"/>
      <c r="AQ56" s="367"/>
      <c r="AR56" s="367"/>
      <c r="AS56" s="367"/>
      <c r="AU56" s="371" t="s">
        <v>298</v>
      </c>
      <c r="AV56" s="413">
        <v>330.03999999999996</v>
      </c>
    </row>
    <row r="57" spans="3:48" ht="15" x14ac:dyDescent="0.25"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  <c r="N57" s="367"/>
      <c r="O57" s="367"/>
      <c r="P57" s="367">
        <f>(IF(P52="S",(P45+(P46*P50))*1,P44*1))</f>
        <v>142.66999999999999</v>
      </c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367"/>
      <c r="AI57" s="367"/>
      <c r="AJ57" s="367"/>
      <c r="AK57" s="367"/>
      <c r="AL57" s="367"/>
      <c r="AM57" s="367"/>
      <c r="AN57" s="367"/>
      <c r="AO57" s="367"/>
      <c r="AP57" s="367"/>
      <c r="AQ57" s="367"/>
      <c r="AR57" s="367"/>
      <c r="AS57" s="367"/>
      <c r="AU57" s="371" t="s">
        <v>299</v>
      </c>
      <c r="AV57" s="413">
        <v>256.17</v>
      </c>
    </row>
    <row r="58" spans="3:48" ht="15" x14ac:dyDescent="0.25">
      <c r="C58" s="367"/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367"/>
      <c r="P58" s="367">
        <f>SUM(P55:P57)</f>
        <v>5960.5</v>
      </c>
      <c r="Q58" s="367"/>
      <c r="R58" s="367"/>
      <c r="S58" s="367"/>
      <c r="T58" s="367"/>
      <c r="U58" s="367"/>
      <c r="V58" s="367"/>
      <c r="W58" s="367"/>
      <c r="X58" s="367"/>
      <c r="Y58" s="367"/>
      <c r="Z58" s="367"/>
      <c r="AA58" s="367"/>
      <c r="AB58" s="367"/>
      <c r="AC58" s="367"/>
      <c r="AD58" s="367"/>
      <c r="AE58" s="367"/>
      <c r="AF58" s="367"/>
      <c r="AG58" s="367"/>
      <c r="AH58" s="367"/>
      <c r="AI58" s="367"/>
      <c r="AJ58" s="367"/>
      <c r="AK58" s="367"/>
      <c r="AL58" s="367"/>
      <c r="AM58" s="367"/>
      <c r="AN58" s="367"/>
      <c r="AO58" s="367"/>
      <c r="AP58" s="367"/>
      <c r="AQ58" s="367"/>
      <c r="AR58" s="367"/>
      <c r="AS58" s="367"/>
      <c r="AU58" s="371" t="s">
        <v>300</v>
      </c>
      <c r="AV58" s="413">
        <v>204.95999999999998</v>
      </c>
    </row>
    <row r="59" spans="3:48" ht="15" x14ac:dyDescent="0.25"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367"/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  <c r="AJ59" s="367"/>
      <c r="AK59" s="367"/>
      <c r="AL59" s="367"/>
      <c r="AM59" s="367"/>
      <c r="AN59" s="367"/>
      <c r="AO59" s="367"/>
      <c r="AP59" s="367"/>
      <c r="AQ59" s="367"/>
      <c r="AR59" s="367"/>
      <c r="AS59" s="367"/>
      <c r="AU59" s="371" t="s">
        <v>301</v>
      </c>
      <c r="AV59" s="413">
        <v>172.19</v>
      </c>
    </row>
    <row r="60" spans="3:48" ht="15" x14ac:dyDescent="0.25"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367"/>
      <c r="AC60" s="367"/>
      <c r="AD60" s="367"/>
      <c r="AE60" s="367"/>
      <c r="AF60" s="367"/>
      <c r="AG60" s="367"/>
      <c r="AH60" s="367"/>
      <c r="AI60" s="367"/>
      <c r="AJ60" s="367"/>
      <c r="AK60" s="367"/>
      <c r="AL60" s="367"/>
      <c r="AM60" s="367"/>
      <c r="AN60" s="367"/>
      <c r="AO60" s="367"/>
      <c r="AP60" s="367"/>
      <c r="AQ60" s="367"/>
      <c r="AR60" s="367"/>
      <c r="AS60" s="367"/>
      <c r="AU60" s="364" t="s">
        <v>302</v>
      </c>
      <c r="AV60" s="413">
        <v>165.04999999999998</v>
      </c>
    </row>
    <row r="61" spans="3:48" ht="15" x14ac:dyDescent="0.25">
      <c r="C61" s="367"/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AU61" s="364" t="s">
        <v>303</v>
      </c>
      <c r="AV61" s="413">
        <v>128.13</v>
      </c>
    </row>
    <row r="62" spans="3:48" ht="15" x14ac:dyDescent="0.25">
      <c r="C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AU62" s="364" t="s">
        <v>304</v>
      </c>
      <c r="AV62" s="413">
        <v>102.53</v>
      </c>
    </row>
    <row r="63" spans="3:48" ht="15" x14ac:dyDescent="0.25">
      <c r="C63" s="367"/>
      <c r="D63" s="367"/>
      <c r="E63" s="367"/>
      <c r="F63" s="367"/>
      <c r="G63" s="367"/>
      <c r="H63" s="367"/>
      <c r="I63" s="367"/>
      <c r="J63" s="367"/>
      <c r="K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AU63" s="365" t="s">
        <v>311</v>
      </c>
      <c r="AV63" s="413">
        <v>367.13</v>
      </c>
    </row>
    <row r="64" spans="3:48" ht="15" x14ac:dyDescent="0.25">
      <c r="F64" s="367"/>
      <c r="J64" s="367"/>
      <c r="K64" s="367"/>
      <c r="AU64" s="365" t="s">
        <v>312</v>
      </c>
      <c r="AV64" s="413">
        <v>340.71</v>
      </c>
    </row>
    <row r="65" spans="10:48" ht="15" x14ac:dyDescent="0.25">
      <c r="J65" s="367"/>
      <c r="K65" s="367"/>
      <c r="AU65" s="373" t="s">
        <v>313</v>
      </c>
      <c r="AV65" s="413">
        <v>177.35999999999999</v>
      </c>
    </row>
    <row r="66" spans="10:48" ht="15" x14ac:dyDescent="0.25">
      <c r="J66" s="367"/>
      <c r="K66" s="367"/>
      <c r="AU66" s="373" t="s">
        <v>315</v>
      </c>
      <c r="AV66" s="413">
        <v>106.82000000000001</v>
      </c>
    </row>
    <row r="67" spans="10:48" ht="15" x14ac:dyDescent="0.25">
      <c r="AU67" s="373" t="s">
        <v>316</v>
      </c>
      <c r="AV67" s="413">
        <v>415.71999999999997</v>
      </c>
    </row>
    <row r="68" spans="10:48" ht="15" x14ac:dyDescent="0.25">
      <c r="AU68" s="373" t="s">
        <v>317</v>
      </c>
      <c r="AV68" s="413">
        <v>236.16</v>
      </c>
    </row>
    <row r="69" spans="10:48" x14ac:dyDescent="0.2">
      <c r="AU69" s="1" t="s">
        <v>335</v>
      </c>
      <c r="AV69" s="414"/>
    </row>
    <row r="70" spans="10:48" ht="15" x14ac:dyDescent="0.25">
      <c r="AU70" s="365" t="s">
        <v>321</v>
      </c>
      <c r="AV70" s="413">
        <v>71.52000000000001</v>
      </c>
    </row>
    <row r="71" spans="10:48" ht="15" x14ac:dyDescent="0.25">
      <c r="AU71" s="365" t="s">
        <v>305</v>
      </c>
      <c r="AV71" s="413">
        <v>140.66</v>
      </c>
    </row>
    <row r="72" spans="10:48" ht="15" x14ac:dyDescent="0.25">
      <c r="AU72" s="365" t="s">
        <v>306</v>
      </c>
      <c r="AV72" s="413">
        <v>148.32999999999998</v>
      </c>
    </row>
    <row r="73" spans="10:48" ht="15" x14ac:dyDescent="0.25">
      <c r="AU73" s="365" t="s">
        <v>307</v>
      </c>
      <c r="AV73" s="413">
        <v>159.22999999999999</v>
      </c>
    </row>
    <row r="74" spans="10:48" ht="15" x14ac:dyDescent="0.25">
      <c r="AU74" s="365" t="s">
        <v>308</v>
      </c>
      <c r="AV74" s="413">
        <v>122.80000000000001</v>
      </c>
    </row>
    <row r="75" spans="10:48" ht="15" x14ac:dyDescent="0.25">
      <c r="AU75" s="373" t="s">
        <v>309</v>
      </c>
      <c r="AV75" s="413">
        <v>129.66</v>
      </c>
    </row>
    <row r="76" spans="10:48" ht="15" x14ac:dyDescent="0.25">
      <c r="AU76" s="373" t="s">
        <v>310</v>
      </c>
      <c r="AV76" s="413">
        <v>137.03</v>
      </c>
    </row>
    <row r="77" spans="10:48" ht="15" x14ac:dyDescent="0.25">
      <c r="AU77" s="373" t="s">
        <v>314</v>
      </c>
      <c r="AV77" s="413">
        <v>153.87</v>
      </c>
    </row>
    <row r="78" spans="10:48" ht="15" x14ac:dyDescent="0.25">
      <c r="AU78" s="373" t="s">
        <v>318</v>
      </c>
      <c r="AV78" s="413">
        <v>20.84</v>
      </c>
    </row>
    <row r="79" spans="10:48" ht="15" x14ac:dyDescent="0.25">
      <c r="AU79" s="373" t="s">
        <v>319</v>
      </c>
      <c r="AV79" s="413">
        <v>17.73</v>
      </c>
    </row>
    <row r="80" spans="10:48" ht="15" x14ac:dyDescent="0.25">
      <c r="AU80" s="365" t="s">
        <v>320</v>
      </c>
      <c r="AV80" s="413">
        <v>80.850000000000009</v>
      </c>
    </row>
    <row r="81" spans="47:48" ht="15" x14ac:dyDescent="0.25">
      <c r="AU81" s="366" t="s">
        <v>336</v>
      </c>
      <c r="AV81" s="414"/>
    </row>
    <row r="82" spans="47:48" ht="15" x14ac:dyDescent="0.25">
      <c r="AU82" s="365" t="s">
        <v>330</v>
      </c>
      <c r="AV82" s="413">
        <v>71.52000000000001</v>
      </c>
    </row>
    <row r="83" spans="47:48" ht="15" x14ac:dyDescent="0.25">
      <c r="AU83" s="365" t="s">
        <v>322</v>
      </c>
      <c r="AV83" s="415">
        <v>35</v>
      </c>
    </row>
    <row r="84" spans="47:48" ht="15" x14ac:dyDescent="0.25">
      <c r="AU84" s="365" t="s">
        <v>337</v>
      </c>
      <c r="AV84" s="415">
        <v>35</v>
      </c>
    </row>
    <row r="85" spans="47:48" ht="15" x14ac:dyDescent="0.25">
      <c r="AU85" s="365" t="s">
        <v>338</v>
      </c>
      <c r="AV85" s="415">
        <v>35</v>
      </c>
    </row>
    <row r="86" spans="47:48" ht="15" x14ac:dyDescent="0.25">
      <c r="AU86" s="365" t="s">
        <v>339</v>
      </c>
      <c r="AV86" s="415">
        <v>45</v>
      </c>
    </row>
    <row r="87" spans="47:48" ht="15" x14ac:dyDescent="0.25">
      <c r="AU87" s="365" t="s">
        <v>340</v>
      </c>
      <c r="AV87" s="415">
        <v>45</v>
      </c>
    </row>
    <row r="88" spans="47:48" ht="15" x14ac:dyDescent="0.25">
      <c r="AU88" s="365" t="s">
        <v>341</v>
      </c>
      <c r="AV88" s="415">
        <v>55</v>
      </c>
    </row>
    <row r="89" spans="47:48" ht="15" x14ac:dyDescent="0.25">
      <c r="AU89" s="365" t="s">
        <v>323</v>
      </c>
      <c r="AV89" s="415">
        <v>30</v>
      </c>
    </row>
    <row r="90" spans="47:48" ht="15" x14ac:dyDescent="0.25">
      <c r="AU90" s="365" t="s">
        <v>324</v>
      </c>
      <c r="AV90" s="415">
        <v>30</v>
      </c>
    </row>
    <row r="91" spans="47:48" ht="15" x14ac:dyDescent="0.25">
      <c r="AU91" s="365" t="s">
        <v>325</v>
      </c>
      <c r="AV91" s="415">
        <v>30</v>
      </c>
    </row>
  </sheetData>
  <sheetProtection algorithmName="SHA-512" hashValue="N14Qd3sL4wJobND9ek882BEAOckRwoXAzZFUFzgNlYGAWpfH/yfnXCD4v7IfG80VFSojPPMDsc+YXxY9FjcoTg==" saltValue="cuESy89DM/A8Rr++djRvRA==" spinCount="100000" sheet="1" selectLockedCells="1" selectUnlockedCells="1"/>
  <mergeCells count="2">
    <mergeCell ref="V2:X2"/>
    <mergeCell ref="B1:M1"/>
  </mergeCells>
  <pageMargins left="0.7" right="0.7" top="0.75" bottom="0.75" header="0.3" footer="0.3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21"/>
  <sheetViews>
    <sheetView workbookViewId="0">
      <selection activeCell="B8" sqref="B8"/>
    </sheetView>
    <sheetView workbookViewId="1"/>
  </sheetViews>
  <sheetFormatPr baseColWidth="10" defaultRowHeight="12.75" x14ac:dyDescent="0.2"/>
  <cols>
    <col min="1" max="1" width="9.140625" customWidth="1"/>
  </cols>
  <sheetData>
    <row r="1" spans="1:2" ht="15" customHeight="1" x14ac:dyDescent="0.2">
      <c r="B1" s="25" t="s">
        <v>79</v>
      </c>
    </row>
    <row r="2" spans="1:2" ht="15" customHeight="1" x14ac:dyDescent="0.2">
      <c r="A2" s="24">
        <v>1</v>
      </c>
      <c r="B2" s="21" t="s">
        <v>72</v>
      </c>
    </row>
    <row r="3" spans="1:2" ht="15" customHeight="1" x14ac:dyDescent="0.2">
      <c r="A3" s="24">
        <v>2</v>
      </c>
      <c r="B3" s="21" t="s">
        <v>73</v>
      </c>
    </row>
    <row r="4" spans="1:2" ht="15" customHeight="1" x14ac:dyDescent="0.2">
      <c r="A4" s="24">
        <v>3</v>
      </c>
      <c r="B4" s="21" t="s">
        <v>74</v>
      </c>
    </row>
    <row r="5" spans="1:2" ht="15" customHeight="1" x14ac:dyDescent="0.2">
      <c r="A5" s="24">
        <v>4</v>
      </c>
      <c r="B5" s="21" t="s">
        <v>75</v>
      </c>
    </row>
    <row r="6" spans="1:2" ht="15" customHeight="1" x14ac:dyDescent="0.2">
      <c r="A6" s="24">
        <v>5</v>
      </c>
      <c r="B6" s="21" t="s">
        <v>76</v>
      </c>
    </row>
    <row r="7" spans="1:2" ht="15" customHeight="1" x14ac:dyDescent="0.2">
      <c r="A7" s="24">
        <v>6</v>
      </c>
      <c r="B7" s="33" t="s">
        <v>78</v>
      </c>
    </row>
    <row r="8" spans="1:2" ht="15" customHeight="1" x14ac:dyDescent="0.2">
      <c r="A8" s="24">
        <v>7</v>
      </c>
      <c r="B8" s="33" t="s">
        <v>77</v>
      </c>
    </row>
    <row r="9" spans="1:2" ht="15" customHeight="1" x14ac:dyDescent="0.2">
      <c r="A9" s="24"/>
      <c r="B9" s="21"/>
    </row>
    <row r="10" spans="1:2" ht="15" customHeight="1" x14ac:dyDescent="0.2">
      <c r="A10" s="24"/>
      <c r="B10" s="25" t="s">
        <v>90</v>
      </c>
    </row>
    <row r="11" spans="1:2" x14ac:dyDescent="0.2">
      <c r="A11" s="24">
        <v>1</v>
      </c>
      <c r="B11" s="21" t="s">
        <v>91</v>
      </c>
    </row>
    <row r="14" spans="1:2" x14ac:dyDescent="0.2">
      <c r="B14" t="s">
        <v>80</v>
      </c>
    </row>
    <row r="15" spans="1:2" x14ac:dyDescent="0.2">
      <c r="B15" s="21" t="s">
        <v>83</v>
      </c>
    </row>
    <row r="16" spans="1:2" x14ac:dyDescent="0.2">
      <c r="B16" s="21" t="s">
        <v>81</v>
      </c>
    </row>
    <row r="17" spans="2:11" x14ac:dyDescent="0.2">
      <c r="B17" s="21" t="s">
        <v>82</v>
      </c>
    </row>
    <row r="18" spans="2:11" x14ac:dyDescent="0.2">
      <c r="B18" s="23" t="s">
        <v>86</v>
      </c>
    </row>
    <row r="19" spans="2:11" x14ac:dyDescent="0.2">
      <c r="B19" s="22"/>
    </row>
    <row r="20" spans="2:11" ht="24.75" customHeight="1" x14ac:dyDescent="0.2">
      <c r="B20" s="522" t="s">
        <v>84</v>
      </c>
      <c r="C20" s="522"/>
      <c r="D20" s="522"/>
      <c r="E20" s="522"/>
      <c r="F20" s="522"/>
      <c r="G20" s="522"/>
      <c r="H20" s="522"/>
      <c r="I20" s="522"/>
      <c r="J20" s="522"/>
      <c r="K20" s="522"/>
    </row>
    <row r="21" spans="2:11" ht="39.75" customHeight="1" x14ac:dyDescent="0.2">
      <c r="B21" s="521" t="s">
        <v>85</v>
      </c>
      <c r="C21" s="521"/>
      <c r="D21" s="521"/>
      <c r="E21" s="521"/>
      <c r="F21" s="521"/>
      <c r="G21" s="521"/>
      <c r="H21" s="521"/>
      <c r="I21" s="521"/>
      <c r="J21" s="521"/>
      <c r="K21" s="521"/>
    </row>
  </sheetData>
  <sheetProtection password="DF4C" sheet="1" objects="1" scenarios="1"/>
  <mergeCells count="2">
    <mergeCell ref="B21:K21"/>
    <mergeCell ref="B20:K20"/>
  </mergeCells>
  <hyperlinks>
    <hyperlink ref="B2" r:id="rId1" xr:uid="{00000000-0004-0000-0700-000000000000}"/>
    <hyperlink ref="B3" r:id="rId2" xr:uid="{00000000-0004-0000-0700-000001000000}"/>
    <hyperlink ref="B4" r:id="rId3" xr:uid="{00000000-0004-0000-0700-000002000000}"/>
    <hyperlink ref="B5" r:id="rId4" xr:uid="{00000000-0004-0000-0700-000003000000}"/>
    <hyperlink ref="B6" r:id="rId5" xr:uid="{00000000-0004-0000-0700-000004000000}"/>
    <hyperlink ref="B8" r:id="rId6" xr:uid="{00000000-0004-0000-0700-000005000000}"/>
    <hyperlink ref="B7" r:id="rId7" xr:uid="{00000000-0004-0000-0700-000006000000}"/>
    <hyperlink ref="B16" r:id="rId8" xr:uid="{00000000-0004-0000-0700-000007000000}"/>
    <hyperlink ref="B17" r:id="rId9" xr:uid="{00000000-0004-0000-0700-000008000000}"/>
    <hyperlink ref="B18" r:id="rId10" xr:uid="{00000000-0004-0000-0700-000009000000}"/>
    <hyperlink ref="B15" r:id="rId11" xr:uid="{00000000-0004-0000-0700-00000A000000}"/>
    <hyperlink ref="B11" r:id="rId12" xr:uid="{00000000-0004-0000-0700-00000B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hidden="1" customWidth="1"/>
    <col min="4" max="4" width="33.5703125" style="1" hidden="1" customWidth="1"/>
    <col min="5" max="7" width="13.28515625" style="1" hidden="1" customWidth="1"/>
    <col min="8" max="8" width="12.140625" style="1" hidden="1" customWidth="1"/>
    <col min="9" max="9" width="10.7109375" style="1" hidden="1" customWidth="1"/>
    <col min="10" max="10" width="3.85546875" style="1" hidden="1" customWidth="1"/>
    <col min="11" max="12" width="11.42578125" style="1" hidden="1" customWidth="1"/>
    <col min="13" max="13" width="12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501" t="s">
        <v>48</v>
      </c>
      <c r="B1" s="502"/>
      <c r="C1" s="502"/>
      <c r="D1" s="16"/>
      <c r="J1" s="6" t="s">
        <v>13</v>
      </c>
    </row>
    <row r="2" spans="1:14" ht="15.75" hidden="1" x14ac:dyDescent="0.25">
      <c r="A2" s="503" t="s">
        <v>59</v>
      </c>
      <c r="B2" s="503"/>
      <c r="C2" s="503"/>
      <c r="D2" s="16"/>
      <c r="J2" s="6" t="s">
        <v>12</v>
      </c>
    </row>
    <row r="3" spans="1:14" ht="6" hidden="1" customHeight="1" x14ac:dyDescent="0.2">
      <c r="A3" s="16"/>
      <c r="B3" s="16"/>
      <c r="C3" s="16"/>
      <c r="D3" s="16"/>
      <c r="J3" s="1">
        <v>0</v>
      </c>
    </row>
    <row r="4" spans="1:14" hidden="1" x14ac:dyDescent="0.2">
      <c r="A4" s="500" t="s">
        <v>49</v>
      </c>
      <c r="B4" s="500"/>
      <c r="C4" s="47" t="s">
        <v>50</v>
      </c>
      <c r="D4" s="16"/>
      <c r="J4" s="1">
        <v>1</v>
      </c>
    </row>
    <row r="5" spans="1:14" hidden="1" x14ac:dyDescent="0.2">
      <c r="A5" s="48" t="s">
        <v>51</v>
      </c>
      <c r="B5" s="7"/>
      <c r="C5" s="18">
        <v>5550</v>
      </c>
      <c r="D5" s="16"/>
      <c r="J5" s="1">
        <v>2</v>
      </c>
    </row>
    <row r="6" spans="1:14" hidden="1" x14ac:dyDescent="0.2">
      <c r="A6" s="49" t="s">
        <v>36</v>
      </c>
      <c r="B6" s="81">
        <f>+DatosIRPF!B6</f>
        <v>60.722792607802873</v>
      </c>
      <c r="C6" s="50">
        <f>IF(AND(B6&gt;65,B6&lt;75),918,IF(B6&gt;75,918+2040,0))</f>
        <v>0</v>
      </c>
      <c r="D6" s="16"/>
      <c r="E6" s="6"/>
      <c r="F6" s="6"/>
      <c r="G6" s="6"/>
      <c r="H6" s="6"/>
      <c r="I6" s="6"/>
      <c r="J6" s="1">
        <v>3</v>
      </c>
      <c r="K6" s="6"/>
      <c r="L6" s="6"/>
      <c r="M6" s="6"/>
      <c r="N6" s="11"/>
    </row>
    <row r="7" spans="1:14" hidden="1" x14ac:dyDescent="0.2">
      <c r="A7" s="49" t="s">
        <v>47</v>
      </c>
      <c r="B7" s="13" t="str">
        <f>+DatosIRPF!B7</f>
        <v>NO</v>
      </c>
      <c r="C7" s="50">
        <f>IF(B7="si",3246,0)</f>
        <v>0</v>
      </c>
      <c r="D7" s="16"/>
      <c r="E7" s="6"/>
      <c r="F7" s="6"/>
      <c r="G7" s="6"/>
      <c r="H7" s="6"/>
      <c r="I7" s="6"/>
      <c r="J7" s="1">
        <v>4</v>
      </c>
      <c r="K7" s="6"/>
      <c r="L7" s="6"/>
      <c r="M7" s="6"/>
      <c r="N7" s="11"/>
    </row>
    <row r="8" spans="1:14" hidden="1" x14ac:dyDescent="0.2">
      <c r="A8" s="49" t="s">
        <v>37</v>
      </c>
      <c r="B8" s="13" t="str">
        <f>+DatosIRPF!B8</f>
        <v>NO</v>
      </c>
      <c r="C8" s="50">
        <f>IF(B8="si",7242,0)</f>
        <v>0</v>
      </c>
      <c r="D8" s="16"/>
      <c r="E8" s="6"/>
      <c r="F8" s="6"/>
      <c r="G8" s="6"/>
      <c r="H8" s="6"/>
      <c r="I8" s="6"/>
      <c r="J8" s="1">
        <v>5</v>
      </c>
      <c r="K8" s="6"/>
      <c r="L8" s="6"/>
      <c r="M8" s="6"/>
      <c r="N8" s="11"/>
    </row>
    <row r="9" spans="1:14" ht="5.25" hidden="1" customHeight="1" x14ac:dyDescent="0.2">
      <c r="A9" s="16"/>
      <c r="B9" s="16"/>
      <c r="C9" s="16"/>
      <c r="D9" s="16"/>
      <c r="E9" s="6"/>
      <c r="F9" s="6"/>
      <c r="G9" s="6"/>
      <c r="H9" s="6"/>
      <c r="I9" s="6"/>
      <c r="J9" s="1">
        <v>6</v>
      </c>
      <c r="K9" s="6"/>
      <c r="L9" s="6"/>
      <c r="M9" s="6"/>
      <c r="N9" s="11"/>
    </row>
    <row r="10" spans="1:14" hidden="1" x14ac:dyDescent="0.2">
      <c r="A10" s="500" t="s">
        <v>64</v>
      </c>
      <c r="B10" s="500"/>
      <c r="C10" s="16"/>
      <c r="D10" s="16"/>
      <c r="E10" s="6"/>
      <c r="F10" s="6"/>
      <c r="G10" s="6"/>
      <c r="H10" s="6"/>
      <c r="I10" s="6"/>
      <c r="J10" s="1">
        <v>7</v>
      </c>
      <c r="K10" s="6"/>
      <c r="L10" s="6"/>
      <c r="M10" s="6"/>
      <c r="N10" s="11"/>
    </row>
    <row r="11" spans="1:14" ht="13.5" hidden="1" thickBot="1" x14ac:dyDescent="0.25">
      <c r="A11" s="49" t="s">
        <v>38</v>
      </c>
      <c r="B11" s="51" t="str">
        <f>+DatosIRPF!B11</f>
        <v>NO</v>
      </c>
      <c r="C11" s="16"/>
      <c r="D11" s="16"/>
      <c r="E11" s="6"/>
      <c r="F11" s="6"/>
      <c r="G11" s="6"/>
      <c r="H11" s="6"/>
      <c r="I11" s="6"/>
      <c r="J11" s="1">
        <v>8</v>
      </c>
      <c r="K11" s="6"/>
      <c r="L11" s="6"/>
    </row>
    <row r="12" spans="1:14" hidden="1" x14ac:dyDescent="0.2">
      <c r="A12" s="49" t="s">
        <v>39</v>
      </c>
      <c r="B12" s="51">
        <f>+DatosIRPF!B12</f>
        <v>0</v>
      </c>
      <c r="C12" s="50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6"/>
      <c r="E12" s="52"/>
      <c r="F12" s="513"/>
      <c r="G12" s="514"/>
      <c r="H12" s="515"/>
      <c r="I12" s="6"/>
      <c r="K12" s="6"/>
      <c r="L12" s="6"/>
    </row>
    <row r="13" spans="1:14" ht="13.5" hidden="1" thickBot="1" x14ac:dyDescent="0.25">
      <c r="A13" s="49" t="s">
        <v>40</v>
      </c>
      <c r="B13" s="51">
        <f>+DatosIRPF!B13</f>
        <v>0</v>
      </c>
      <c r="C13" s="50">
        <f>IF(B11="NO",+B13*2800/2,+B13*2800)</f>
        <v>0</v>
      </c>
      <c r="D13" s="16"/>
      <c r="E13" s="52"/>
      <c r="F13" s="53"/>
      <c r="G13" s="54"/>
      <c r="H13" s="55"/>
      <c r="I13" s="6"/>
      <c r="K13" s="6"/>
      <c r="L13" s="6"/>
    </row>
    <row r="14" spans="1:14" hidden="1" x14ac:dyDescent="0.2">
      <c r="A14" s="56" t="s">
        <v>41</v>
      </c>
      <c r="B14" s="51">
        <f>+DatosIRPF!B14</f>
        <v>0</v>
      </c>
      <c r="C14" s="50">
        <f>IF(B11="NO",(B14*2316*1.29)/2,(B14*2316*1.29))</f>
        <v>0</v>
      </c>
      <c r="D14" s="16"/>
      <c r="E14" s="52"/>
      <c r="F14" s="57"/>
      <c r="G14" s="58"/>
      <c r="H14" s="59"/>
      <c r="I14" s="6"/>
      <c r="K14" s="6"/>
      <c r="L14" s="6"/>
    </row>
    <row r="15" spans="1:14" hidden="1" x14ac:dyDescent="0.2">
      <c r="A15" s="56" t="s">
        <v>42</v>
      </c>
      <c r="B15" s="51">
        <f>+DatosIRPF!B15</f>
        <v>0</v>
      </c>
      <c r="C15" s="50">
        <f>IF(B11="NO",(B15*7038*1.29)/2,(B15*7038*1.29))</f>
        <v>0</v>
      </c>
      <c r="D15" s="16"/>
      <c r="E15" s="52"/>
      <c r="F15" s="60"/>
      <c r="G15" s="61"/>
      <c r="H15" s="62"/>
      <c r="I15" s="6"/>
      <c r="K15" s="6"/>
      <c r="L15" s="6"/>
    </row>
    <row r="16" spans="1:14" ht="4.5" hidden="1" customHeight="1" x14ac:dyDescent="0.2">
      <c r="A16" s="17"/>
      <c r="B16" s="17"/>
      <c r="C16" s="17"/>
      <c r="D16" s="16"/>
      <c r="E16" s="52"/>
      <c r="F16" s="60"/>
      <c r="G16" s="61"/>
      <c r="H16" s="62"/>
      <c r="I16" s="6"/>
      <c r="K16" s="6"/>
      <c r="L16" s="6"/>
    </row>
    <row r="17" spans="1:12" hidden="1" x14ac:dyDescent="0.2">
      <c r="A17" s="500" t="s">
        <v>65</v>
      </c>
      <c r="B17" s="500"/>
      <c r="C17" s="17"/>
      <c r="D17" s="16"/>
      <c r="E17" s="52"/>
      <c r="F17" s="60"/>
      <c r="G17" s="61"/>
      <c r="H17" s="62"/>
      <c r="I17" s="6"/>
      <c r="K17" s="6"/>
      <c r="L17" s="6"/>
    </row>
    <row r="18" spans="1:12" ht="13.5" hidden="1" thickBot="1" x14ac:dyDescent="0.25">
      <c r="A18" s="8" t="s">
        <v>67</v>
      </c>
      <c r="B18" s="13">
        <f>+DatosIRPF!B18</f>
        <v>1</v>
      </c>
      <c r="C18" s="17"/>
      <c r="D18" s="16"/>
      <c r="E18" s="52"/>
      <c r="F18" s="63"/>
      <c r="G18" s="64"/>
      <c r="H18" s="65"/>
      <c r="I18" s="6"/>
      <c r="K18" s="6"/>
      <c r="L18" s="6"/>
    </row>
    <row r="19" spans="1:12" hidden="1" x14ac:dyDescent="0.2">
      <c r="A19" s="49" t="s">
        <v>43</v>
      </c>
      <c r="B19" s="13">
        <f>+DatosIRPF!B19</f>
        <v>0</v>
      </c>
      <c r="C19" s="499">
        <f>((+B19*1150)+(B20*(1150+1400)))/B18</f>
        <v>0</v>
      </c>
      <c r="D19" s="16"/>
      <c r="E19" s="52"/>
      <c r="F19" s="52"/>
      <c r="G19" s="52"/>
      <c r="H19" s="52"/>
      <c r="I19" s="6"/>
      <c r="K19" s="6"/>
      <c r="L19" s="6"/>
    </row>
    <row r="20" spans="1:12" ht="13.5" hidden="1" thickBot="1" x14ac:dyDescent="0.25">
      <c r="A20" s="49" t="s">
        <v>44</v>
      </c>
      <c r="B20" s="13">
        <f>+DatosIRPF!B20</f>
        <v>0</v>
      </c>
      <c r="C20" s="499"/>
      <c r="D20" s="16"/>
      <c r="E20" s="52"/>
      <c r="F20" s="52"/>
      <c r="G20" s="52"/>
      <c r="H20" s="52"/>
      <c r="I20" s="6"/>
      <c r="K20" s="6"/>
      <c r="L20" s="6"/>
    </row>
    <row r="21" spans="1:12" ht="13.5" hidden="1" thickBot="1" x14ac:dyDescent="0.25">
      <c r="A21" s="56" t="s">
        <v>45</v>
      </c>
      <c r="B21" s="13">
        <f>+DatosIRPF!B21</f>
        <v>0</v>
      </c>
      <c r="C21" s="18">
        <f>(B21*3000)/B18</f>
        <v>0</v>
      </c>
      <c r="D21" s="16"/>
      <c r="E21" s="52"/>
      <c r="F21" s="516"/>
      <c r="G21" s="517"/>
      <c r="H21" s="52"/>
      <c r="I21" s="6"/>
      <c r="K21" s="6"/>
      <c r="L21" s="6"/>
    </row>
    <row r="22" spans="1:12" hidden="1" x14ac:dyDescent="0.2">
      <c r="A22" s="56" t="s">
        <v>46</v>
      </c>
      <c r="B22" s="13">
        <f>+DatosIRPF!B22</f>
        <v>0</v>
      </c>
      <c r="C22" s="18">
        <f>+(B22*9000)/B18</f>
        <v>0</v>
      </c>
      <c r="D22" s="16"/>
      <c r="E22" s="52"/>
      <c r="F22" s="66"/>
      <c r="G22" s="67"/>
      <c r="H22" s="52"/>
      <c r="I22" s="6"/>
      <c r="K22" s="6"/>
      <c r="L22" s="6"/>
    </row>
    <row r="23" spans="1:12" hidden="1" x14ac:dyDescent="0.2">
      <c r="A23" s="16"/>
      <c r="B23" s="16"/>
      <c r="C23" s="16"/>
      <c r="D23" s="16"/>
      <c r="E23" s="52"/>
      <c r="F23" s="68"/>
      <c r="G23" s="69"/>
      <c r="H23" s="52"/>
      <c r="I23" s="6"/>
      <c r="K23" s="6"/>
      <c r="L23" s="6"/>
    </row>
    <row r="24" spans="1:12" hidden="1" x14ac:dyDescent="0.2">
      <c r="A24" s="500" t="s">
        <v>53</v>
      </c>
      <c r="B24" s="500"/>
      <c r="C24" s="16"/>
      <c r="D24" s="16"/>
      <c r="E24" s="52"/>
      <c r="F24" s="68"/>
      <c r="G24" s="69"/>
      <c r="H24" s="52"/>
      <c r="I24" s="6"/>
      <c r="J24" s="1">
        <v>8</v>
      </c>
      <c r="K24" s="6"/>
      <c r="L24" s="6"/>
    </row>
    <row r="25" spans="1:12" hidden="1" x14ac:dyDescent="0.2">
      <c r="A25" s="70" t="s">
        <v>35</v>
      </c>
      <c r="B25" s="5" t="e">
        <f>+#REF!</f>
        <v>#REF!</v>
      </c>
      <c r="C25" s="16"/>
      <c r="D25" s="16"/>
      <c r="E25" s="52"/>
      <c r="F25" s="68"/>
      <c r="G25" s="69"/>
      <c r="H25" s="52"/>
      <c r="I25" s="6"/>
      <c r="K25" s="6"/>
      <c r="L25" s="6"/>
    </row>
    <row r="26" spans="1:12" hidden="1" x14ac:dyDescent="0.2">
      <c r="A26" s="16"/>
      <c r="B26" s="16"/>
      <c r="C26" s="16"/>
      <c r="D26" s="16"/>
      <c r="E26" s="52"/>
      <c r="F26" s="68"/>
      <c r="G26" s="69"/>
      <c r="H26" s="71"/>
    </row>
    <row r="27" spans="1:12" ht="13.5" hidden="1" thickBot="1" x14ac:dyDescent="0.25">
      <c r="A27" s="500" t="s">
        <v>55</v>
      </c>
      <c r="B27" s="500"/>
      <c r="C27" s="16"/>
      <c r="D27" s="16"/>
      <c r="E27" s="52"/>
      <c r="F27" s="72"/>
      <c r="G27" s="73"/>
      <c r="H27" s="52"/>
    </row>
    <row r="28" spans="1:12" hidden="1" x14ac:dyDescent="0.2">
      <c r="A28" s="48" t="s">
        <v>52</v>
      </c>
      <c r="B28" s="19">
        <v>2000</v>
      </c>
      <c r="C28" s="16"/>
      <c r="D28" s="16"/>
      <c r="E28" s="52"/>
      <c r="F28" s="52"/>
      <c r="G28" s="52"/>
      <c r="H28" s="52"/>
    </row>
    <row r="29" spans="1:12" ht="13.5" hidden="1" thickBot="1" x14ac:dyDescent="0.25">
      <c r="A29" s="48" t="s">
        <v>104</v>
      </c>
      <c r="B29" s="19">
        <v>600</v>
      </c>
      <c r="C29" s="16"/>
      <c r="D29" s="16"/>
      <c r="E29" s="52"/>
      <c r="F29" s="52"/>
      <c r="G29" s="52"/>
      <c r="H29" s="52"/>
    </row>
    <row r="30" spans="1:12" ht="13.5" hidden="1" thickBot="1" x14ac:dyDescent="0.25">
      <c r="A30" s="49" t="s">
        <v>47</v>
      </c>
      <c r="B30" s="18"/>
      <c r="C30" s="16"/>
      <c r="D30" s="16"/>
      <c r="E30" s="52"/>
      <c r="F30" s="516"/>
      <c r="G30" s="517"/>
      <c r="H30" s="52"/>
    </row>
    <row r="31" spans="1:12" hidden="1" x14ac:dyDescent="0.2">
      <c r="A31" s="49" t="s">
        <v>37</v>
      </c>
      <c r="B31" s="18"/>
      <c r="C31" s="16"/>
      <c r="D31" s="16"/>
      <c r="E31" s="52"/>
      <c r="F31" s="66"/>
      <c r="G31" s="67"/>
      <c r="H31" s="52"/>
    </row>
    <row r="32" spans="1:12" hidden="1" x14ac:dyDescent="0.2">
      <c r="A32" s="56" t="s">
        <v>66</v>
      </c>
      <c r="B32" s="19">
        <f>IF(B12&gt;2,600,0)</f>
        <v>0</v>
      </c>
      <c r="C32" s="16"/>
      <c r="D32" s="16"/>
      <c r="E32" s="52"/>
      <c r="F32" s="68"/>
      <c r="G32" s="69"/>
      <c r="H32" s="52"/>
    </row>
    <row r="33" spans="1:8" hidden="1" x14ac:dyDescent="0.2">
      <c r="A33" s="48"/>
      <c r="B33" s="19"/>
      <c r="C33" s="16"/>
      <c r="D33" s="16"/>
      <c r="E33" s="52"/>
      <c r="F33" s="68"/>
      <c r="G33" s="69"/>
      <c r="H33" s="74"/>
    </row>
    <row r="34" spans="1:8" hidden="1" x14ac:dyDescent="0.2">
      <c r="A34" s="12" t="s">
        <v>54</v>
      </c>
      <c r="B34" s="19" t="e">
        <f>+B25-B29-B28-B30-B31-B32-B33</f>
        <v>#REF!</v>
      </c>
      <c r="C34" s="5">
        <f>SUM(C5:C33)</f>
        <v>5550</v>
      </c>
      <c r="D34" s="16"/>
      <c r="E34" s="52"/>
      <c r="F34" s="68"/>
      <c r="G34" s="69"/>
      <c r="H34" s="71"/>
    </row>
    <row r="35" spans="1:8" hidden="1" x14ac:dyDescent="0.2">
      <c r="A35" s="12" t="s">
        <v>56</v>
      </c>
      <c r="B35" s="19" t="e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#REF!</v>
      </c>
      <c r="C35" s="5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6"/>
      <c r="E35" s="52"/>
      <c r="F35" s="68"/>
      <c r="G35" s="69"/>
      <c r="H35" s="71"/>
    </row>
    <row r="36" spans="1:8" ht="13.5" hidden="1" thickBot="1" x14ac:dyDescent="0.25">
      <c r="A36" s="12" t="s">
        <v>57</v>
      </c>
      <c r="B36" s="19" t="e">
        <f>+B35-C35</f>
        <v>#REF!</v>
      </c>
      <c r="C36" s="16"/>
      <c r="D36" s="16"/>
      <c r="E36" s="52"/>
      <c r="F36" s="72"/>
      <c r="G36" s="73"/>
      <c r="H36" s="71"/>
    </row>
    <row r="37" spans="1:8" hidden="1" x14ac:dyDescent="0.2">
      <c r="A37" s="12" t="s">
        <v>58</v>
      </c>
      <c r="B37" s="75" t="e">
        <f>+B36/B25</f>
        <v>#REF!</v>
      </c>
      <c r="C37" s="16"/>
      <c r="D37" s="16"/>
      <c r="E37" s="52"/>
      <c r="F37" s="52"/>
      <c r="G37" s="52"/>
      <c r="H37" s="71"/>
    </row>
    <row r="38" spans="1:8" ht="13.5" hidden="1" thickBot="1" x14ac:dyDescent="0.25">
      <c r="A38" s="16"/>
      <c r="B38" s="16"/>
      <c r="C38" s="16"/>
      <c r="D38" s="16"/>
      <c r="E38" s="52"/>
      <c r="F38" s="52"/>
      <c r="G38" s="52"/>
      <c r="H38" s="71"/>
    </row>
    <row r="39" spans="1:8" ht="13.5" hidden="1" thickBot="1" x14ac:dyDescent="0.25">
      <c r="E39" s="52"/>
      <c r="F39" s="518"/>
      <c r="G39" s="519"/>
      <c r="H39" s="76"/>
    </row>
    <row r="40" spans="1:8" ht="13.5" hidden="1" thickBot="1" x14ac:dyDescent="0.25">
      <c r="E40" s="77"/>
      <c r="F40" s="78"/>
      <c r="G40" s="79"/>
      <c r="H40" s="80"/>
    </row>
  </sheetData>
  <sheetProtection sheet="1" objects="1" scenarios="1"/>
  <mergeCells count="12">
    <mergeCell ref="F39:G39"/>
    <mergeCell ref="A1:C1"/>
    <mergeCell ref="A2:C2"/>
    <mergeCell ref="A4:B4"/>
    <mergeCell ref="A10:B10"/>
    <mergeCell ref="F12:H12"/>
    <mergeCell ref="A17:B17"/>
    <mergeCell ref="C19:C20"/>
    <mergeCell ref="F21:G21"/>
    <mergeCell ref="A24:B24"/>
    <mergeCell ref="A27:B27"/>
    <mergeCell ref="F30:G30"/>
  </mergeCells>
  <dataValidations count="2">
    <dataValidation type="list" allowBlank="1" showInputMessage="1" showErrorMessage="1" sqref="B18:B22" xr:uid="{00000000-0002-0000-0800-000000000000}">
      <formula1>$J$4:$J$10</formula1>
    </dataValidation>
    <dataValidation type="list" allowBlank="1" showInputMessage="1" showErrorMessage="1" sqref="B11:B15" xr:uid="{00000000-0002-0000-0800-000001000000}">
      <formula1>$J$1:$J$2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Datos</vt:lpstr>
      <vt:lpstr>RESULTADO</vt:lpstr>
      <vt:lpstr>Tiempos de cotización</vt:lpstr>
      <vt:lpstr>DatosIRPF</vt:lpstr>
      <vt:lpstr>Haber Regulador</vt:lpstr>
      <vt:lpstr>IRPFPensión</vt:lpstr>
      <vt:lpstr>Retribuciones</vt:lpstr>
      <vt:lpstr>Normativas</vt:lpstr>
      <vt:lpstr>IRPF A1</vt:lpstr>
      <vt:lpstr>IRPFPensiónMax</vt:lpstr>
      <vt:lpstr>IRPF Maestros</vt:lpstr>
      <vt:lpstr>IRPF 1º y 2ª ESO</vt:lpstr>
      <vt:lpstr>IRPF TecnFP</vt:lpstr>
      <vt:lpstr>IRPF Secund</vt:lpstr>
      <vt:lpstr>IRPF Catred</vt:lpstr>
      <vt:lpstr>IRPF Inspect</vt:lpstr>
      <vt:lpstr>deducciones</vt:lpstr>
      <vt:lpstr>Importe</vt:lpstr>
      <vt:lpstr>Cálculo sencillo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Ángel Amador</dc:creator>
  <cp:lastModifiedBy>insucan</cp:lastModifiedBy>
  <cp:lastPrinted>2020-12-22T10:12:12Z</cp:lastPrinted>
  <dcterms:created xsi:type="dcterms:W3CDTF">2004-01-13T10:49:42Z</dcterms:created>
  <dcterms:modified xsi:type="dcterms:W3CDTF">2021-07-04T19:12:13Z</dcterms:modified>
</cp:coreProperties>
</file>