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333D62FA-432E-438B-8437-B9CAEE25E6C9}" xr6:coauthVersionLast="47" xr6:coauthVersionMax="47" xr10:uidLastSave="{00000000-0000-0000-0000-000000000000}"/>
  <bookViews>
    <workbookView xWindow="-120" yWindow="-120" windowWidth="38640" windowHeight="15840" tabRatio="677" firstSheet="1" activeTab="1" xr2:uid="{00000000-000D-0000-FFFF-FFFF00000000}"/>
    <workbookView visibility="hidden" xWindow="-120" yWindow="-120" windowWidth="38640" windowHeight="15840" firstSheet="4" activeTab="4" xr2:uid="{00000000-000D-0000-FFFF-FFFF01000000}"/>
  </bookViews>
  <sheets>
    <sheet name="Datos" sheetId="29" r:id="rId1"/>
    <sheet name="RESULTADO" sheetId="30" r:id="rId2"/>
    <sheet name="Tiempos de cotización" sheetId="42" r:id="rId3"/>
    <sheet name="Haber Regulador" sheetId="24" r:id="rId4"/>
    <sheet name="Retribuciones" sheetId="31" r:id="rId5"/>
    <sheet name="Normativas" sheetId="26" r:id="rId6"/>
    <sheet name="Cálculo sencillo" sheetId="43" r:id="rId7"/>
    <sheet name="Hoja2" sheetId="44" r:id="rId8"/>
    <sheet name="Importe" sheetId="41" state="hidden" r:id="rId9"/>
    <sheet name="IRPFPensión" sheetId="25" state="hidden" r:id="rId10"/>
    <sheet name="IRPFNómina" sheetId="38" state="hidden" r:id="rId11"/>
    <sheet name="IRPFPensiónMax" sheetId="39" state="hidden" r:id="rId12"/>
    <sheet name="DatosIRPF" sheetId="21"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9" i="31" l="1"/>
  <c r="K27" i="31"/>
  <c r="L27" i="31" s="1"/>
  <c r="M27" i="31" s="1"/>
  <c r="E27" i="31"/>
  <c r="F27" i="31" s="1"/>
  <c r="G27" i="31" s="1"/>
  <c r="H27" i="31" s="1"/>
  <c r="I27" i="31" s="1"/>
  <c r="L26" i="31"/>
  <c r="M26" i="31" s="1"/>
  <c r="K26" i="31"/>
  <c r="E26" i="31"/>
  <c r="F26" i="31" s="1"/>
  <c r="G26" i="31" s="1"/>
  <c r="H26" i="31" s="1"/>
  <c r="I26" i="31" s="1"/>
  <c r="L25" i="31"/>
  <c r="M25" i="31" s="1"/>
  <c r="K25" i="31"/>
  <c r="G25" i="31"/>
  <c r="H25" i="31" s="1"/>
  <c r="I25" i="31" s="1"/>
  <c r="K24" i="31"/>
  <c r="L24" i="31" s="1"/>
  <c r="M24" i="31" s="1"/>
  <c r="G24" i="31"/>
  <c r="H24" i="31" s="1"/>
  <c r="I24" i="31" s="1"/>
  <c r="K23" i="31"/>
  <c r="L23" i="31" s="1"/>
  <c r="M23" i="31" s="1"/>
  <c r="H23" i="31"/>
  <c r="I23" i="31" s="1"/>
  <c r="G23" i="31"/>
  <c r="E22" i="31"/>
  <c r="F22" i="31" s="1"/>
  <c r="G22" i="31" s="1"/>
  <c r="H22" i="31" s="1"/>
  <c r="I22" i="31" s="1"/>
  <c r="J22" i="31" s="1"/>
  <c r="K22" i="31" s="1"/>
  <c r="L22" i="31" s="1"/>
  <c r="M22" i="31" s="1"/>
  <c r="D22" i="31"/>
  <c r="E21" i="31"/>
  <c r="F21" i="31" s="1"/>
  <c r="G21" i="31" s="1"/>
  <c r="H21" i="31" s="1"/>
  <c r="I21" i="31" s="1"/>
  <c r="J21" i="31" s="1"/>
  <c r="K21" i="31" s="1"/>
  <c r="L21" i="31" s="1"/>
  <c r="M21" i="31" s="1"/>
  <c r="D20" i="31"/>
  <c r="E20" i="31" s="1"/>
  <c r="F20" i="31" s="1"/>
  <c r="G20" i="31" s="1"/>
  <c r="H20" i="31" s="1"/>
  <c r="I20" i="31" s="1"/>
  <c r="J20" i="31" s="1"/>
  <c r="K20" i="31" s="1"/>
  <c r="L20" i="31" s="1"/>
  <c r="M20" i="31" s="1"/>
  <c r="E19" i="31"/>
  <c r="F19" i="31" s="1"/>
  <c r="G19" i="31" s="1"/>
  <c r="H19" i="31" s="1"/>
  <c r="I19" i="31" s="1"/>
  <c r="J19" i="31" s="1"/>
  <c r="K19" i="31" s="1"/>
  <c r="L19" i="31" s="1"/>
  <c r="M19" i="31" s="1"/>
  <c r="D18" i="31"/>
  <c r="E18" i="31" s="1"/>
  <c r="F18" i="31" s="1"/>
  <c r="G18" i="31" s="1"/>
  <c r="H18" i="31" s="1"/>
  <c r="I18" i="31" s="1"/>
  <c r="J18" i="31" s="1"/>
  <c r="K18" i="31" s="1"/>
  <c r="L18" i="31" s="1"/>
  <c r="M18" i="31" s="1"/>
  <c r="E17" i="31"/>
  <c r="F17" i="31" s="1"/>
  <c r="G17" i="31" s="1"/>
  <c r="H17" i="31" s="1"/>
  <c r="I17" i="31" s="1"/>
  <c r="J17" i="31" s="1"/>
  <c r="K17" i="31" s="1"/>
  <c r="L17" i="31" s="1"/>
  <c r="M17" i="31" s="1"/>
  <c r="D16" i="31"/>
  <c r="E16" i="31" s="1"/>
  <c r="F16" i="31" s="1"/>
  <c r="G16" i="31" s="1"/>
  <c r="H16" i="31" s="1"/>
  <c r="I16" i="31" s="1"/>
  <c r="J16" i="31" s="1"/>
  <c r="K16" i="31" s="1"/>
  <c r="L16" i="31" s="1"/>
  <c r="M16" i="31" s="1"/>
  <c r="E15" i="31"/>
  <c r="F15" i="31" s="1"/>
  <c r="G15" i="31" s="1"/>
  <c r="H15" i="31" s="1"/>
  <c r="I15" i="31" s="1"/>
  <c r="J15" i="31" s="1"/>
  <c r="K15" i="31" s="1"/>
  <c r="L15" i="31" s="1"/>
  <c r="M15" i="31" s="1"/>
  <c r="D14" i="31"/>
  <c r="E14" i="31" s="1"/>
  <c r="F14" i="31" s="1"/>
  <c r="G14" i="31" s="1"/>
  <c r="H14" i="31" s="1"/>
  <c r="I14" i="31" s="1"/>
  <c r="J14" i="31" s="1"/>
  <c r="K14" i="31" s="1"/>
  <c r="L14" i="31" s="1"/>
  <c r="M14" i="31" s="1"/>
  <c r="F13" i="31"/>
  <c r="G13" i="31" s="1"/>
  <c r="H13" i="31" s="1"/>
  <c r="I13" i="31" s="1"/>
  <c r="J13" i="31" s="1"/>
  <c r="K13" i="31" s="1"/>
  <c r="L13" i="31" s="1"/>
  <c r="M13" i="31" s="1"/>
  <c r="E13" i="31"/>
  <c r="L12" i="31"/>
  <c r="J12" i="31"/>
  <c r="G12" i="31"/>
  <c r="F12" i="31"/>
  <c r="E12" i="31"/>
  <c r="D12" i="31"/>
  <c r="N11" i="31"/>
  <c r="M11" i="31"/>
  <c r="M12" i="31" s="1"/>
  <c r="K11" i="31"/>
  <c r="K12" i="31" s="1"/>
  <c r="G11" i="31"/>
  <c r="H11" i="31" s="1"/>
  <c r="L10" i="31"/>
  <c r="F10" i="31"/>
  <c r="D10" i="31"/>
  <c r="M9" i="31"/>
  <c r="M10" i="31" s="1"/>
  <c r="G9" i="31"/>
  <c r="G10" i="31" s="1"/>
  <c r="E9" i="31"/>
  <c r="E10" i="31" s="1"/>
  <c r="K8" i="31"/>
  <c r="L8" i="31" s="1"/>
  <c r="M8" i="31" s="1"/>
  <c r="E8" i="31"/>
  <c r="F8" i="31" s="1"/>
  <c r="G8" i="31" s="1"/>
  <c r="H8" i="31" s="1"/>
  <c r="I8" i="31" s="1"/>
  <c r="K7" i="31"/>
  <c r="L7" i="31" s="1"/>
  <c r="M7" i="31" s="1"/>
  <c r="E7" i="31"/>
  <c r="F7" i="31" s="1"/>
  <c r="G7" i="31" s="1"/>
  <c r="H7" i="31" s="1"/>
  <c r="I7" i="31" s="1"/>
  <c r="K6" i="31"/>
  <c r="L6" i="31" s="1"/>
  <c r="M6" i="31" s="1"/>
  <c r="E6" i="31"/>
  <c r="F6" i="31" s="1"/>
  <c r="G6" i="31" s="1"/>
  <c r="H6" i="31" s="1"/>
  <c r="I6" i="31" s="1"/>
  <c r="L5" i="31"/>
  <c r="M5" i="31" s="1"/>
  <c r="K5" i="31"/>
  <c r="F5" i="31"/>
  <c r="G5" i="31" s="1"/>
  <c r="H5" i="31" s="1"/>
  <c r="I5" i="31" s="1"/>
  <c r="E5" i="31"/>
  <c r="C2" i="30"/>
  <c r="C60" i="43"/>
  <c r="C59" i="43"/>
  <c r="C76" i="43"/>
  <c r="C53" i="41"/>
  <c r="C46" i="41"/>
  <c r="C58" i="43"/>
  <c r="F5" i="43"/>
  <c r="G5" i="43" s="1"/>
  <c r="F6" i="43"/>
  <c r="G6" i="43" s="1"/>
  <c r="F7" i="43"/>
  <c r="N7" i="43"/>
  <c r="F8" i="43"/>
  <c r="G8" i="43" s="1"/>
  <c r="F9" i="43"/>
  <c r="G9" i="43"/>
  <c r="F10" i="43"/>
  <c r="N16" i="43" s="1"/>
  <c r="G10" i="43"/>
  <c r="C11" i="43"/>
  <c r="D11" i="43"/>
  <c r="E11" i="43"/>
  <c r="F11" i="43"/>
  <c r="G11" i="43" s="1"/>
  <c r="C14" i="43"/>
  <c r="C17" i="43"/>
  <c r="C19" i="43" s="1"/>
  <c r="O19" i="43" s="1"/>
  <c r="C20" i="43"/>
  <c r="C22" i="43" s="1"/>
  <c r="C23" i="43"/>
  <c r="C25" i="43" s="1"/>
  <c r="O25" i="43" s="1"/>
  <c r="C26" i="43"/>
  <c r="C28" i="43" s="1"/>
  <c r="O28" i="43" s="1"/>
  <c r="C29" i="43"/>
  <c r="C31" i="43" s="1"/>
  <c r="O31" i="43" s="1"/>
  <c r="D55" i="43"/>
  <c r="E55" i="43" s="1"/>
  <c r="C56" i="43"/>
  <c r="I11" i="31" l="1"/>
  <c r="I12" i="31" s="1"/>
  <c r="H12" i="31"/>
  <c r="H9" i="31"/>
  <c r="C61" i="43"/>
  <c r="C62" i="43" s="1"/>
  <c r="E44" i="43" s="1"/>
  <c r="N31" i="43"/>
  <c r="P31" i="43" s="1"/>
  <c r="N28" i="43"/>
  <c r="P28" i="43" s="1"/>
  <c r="C27" i="43"/>
  <c r="D27" i="43" s="1"/>
  <c r="C16" i="43"/>
  <c r="O16" i="43" s="1"/>
  <c r="P16" i="43" s="1"/>
  <c r="O22" i="43"/>
  <c r="C21" i="43"/>
  <c r="N19" i="43"/>
  <c r="P19" i="43" s="1"/>
  <c r="N25" i="43"/>
  <c r="P25" i="43" s="1"/>
  <c r="F55" i="43"/>
  <c r="C30" i="43"/>
  <c r="C18" i="43"/>
  <c r="N22" i="43"/>
  <c r="C24" i="43"/>
  <c r="G7" i="43"/>
  <c r="H10" i="31" l="1"/>
  <c r="I9" i="31"/>
  <c r="C44" i="43"/>
  <c r="B47" i="43"/>
  <c r="D28" i="43"/>
  <c r="E27" i="43" s="1"/>
  <c r="E28" i="43" s="1"/>
  <c r="P22" i="43"/>
  <c r="C15" i="43"/>
  <c r="D21" i="43"/>
  <c r="D22" i="43"/>
  <c r="D25" i="43"/>
  <c r="D24" i="43"/>
  <c r="D19" i="43"/>
  <c r="D18" i="43"/>
  <c r="D31" i="43"/>
  <c r="D30" i="43"/>
  <c r="E43" i="43"/>
  <c r="E45" i="43" s="1"/>
  <c r="I10" i="31" l="1"/>
  <c r="J9" i="31"/>
  <c r="C43" i="43"/>
  <c r="C45" i="43" s="1"/>
  <c r="E24" i="43"/>
  <c r="E25" i="43" s="1"/>
  <c r="E18" i="43"/>
  <c r="E19" i="43" s="1"/>
  <c r="D16" i="43"/>
  <c r="D15" i="43"/>
  <c r="E21" i="43"/>
  <c r="E22" i="43" s="1"/>
  <c r="E30" i="43"/>
  <c r="E31" i="43" s="1"/>
  <c r="G44" i="43"/>
  <c r="J10" i="31" l="1"/>
  <c r="K9" i="31"/>
  <c r="K10" i="31" s="1"/>
  <c r="E15" i="43"/>
  <c r="E16" i="43" s="1"/>
  <c r="E46" i="43"/>
  <c r="E47" i="43" s="1"/>
  <c r="C47" i="43" l="1"/>
  <c r="G47" i="43"/>
  <c r="I46" i="24"/>
  <c r="C61" i="41" l="1"/>
  <c r="T31" i="31"/>
  <c r="T2" i="31"/>
  <c r="P114" i="31"/>
  <c r="P115" i="31" s="1"/>
  <c r="AW109" i="31"/>
  <c r="AW107" i="31"/>
  <c r="P87" i="31"/>
  <c r="P85" i="31"/>
  <c r="T27" i="31" l="1"/>
  <c r="T26" i="31"/>
  <c r="T25" i="31"/>
  <c r="T24" i="31"/>
  <c r="T23" i="31"/>
  <c r="W15" i="31" s="1"/>
  <c r="T22" i="31"/>
  <c r="T21" i="31"/>
  <c r="T20" i="31"/>
  <c r="T19" i="31"/>
  <c r="T18" i="31"/>
  <c r="T17" i="31"/>
  <c r="T16" i="31"/>
  <c r="T15" i="31"/>
  <c r="T14" i="31"/>
  <c r="T13" i="31"/>
  <c r="T12" i="31"/>
  <c r="T11" i="31"/>
  <c r="T10" i="31"/>
  <c r="T9" i="31"/>
  <c r="T8" i="31"/>
  <c r="T7" i="31"/>
  <c r="T6" i="31"/>
  <c r="T5" i="31"/>
  <c r="T4" i="31"/>
  <c r="T3" i="31"/>
  <c r="AH72" i="29"/>
  <c r="E18" i="29" l="1"/>
  <c r="I44" i="24"/>
  <c r="H7" i="24"/>
  <c r="B1" i="41"/>
  <c r="H20" i="29"/>
  <c r="T41" i="24" l="1"/>
  <c r="U41" i="24" s="1"/>
  <c r="Q41" i="24"/>
  <c r="R41" i="24" s="1"/>
  <c r="N41" i="24"/>
  <c r="O41" i="24" s="1"/>
  <c r="K41" i="24"/>
  <c r="L41" i="24" s="1"/>
  <c r="H41" i="24"/>
  <c r="I41" i="24" s="1"/>
  <c r="E41" i="24"/>
  <c r="F41" i="24" s="1"/>
  <c r="T40" i="24"/>
  <c r="U40" i="24" s="1"/>
  <c r="Q40" i="24"/>
  <c r="R40" i="24" s="1"/>
  <c r="N40" i="24"/>
  <c r="O40" i="24" s="1"/>
  <c r="K40" i="24"/>
  <c r="L40" i="24" s="1"/>
  <c r="H40" i="24"/>
  <c r="I40" i="24" s="1"/>
  <c r="E40" i="24"/>
  <c r="F40" i="24" s="1"/>
  <c r="T39" i="24"/>
  <c r="U39" i="24" s="1"/>
  <c r="Q39" i="24"/>
  <c r="R39" i="24" s="1"/>
  <c r="N39" i="24"/>
  <c r="O39" i="24" s="1"/>
  <c r="K39" i="24"/>
  <c r="L39" i="24" s="1"/>
  <c r="H39" i="24"/>
  <c r="I39" i="24" s="1"/>
  <c r="E39" i="24"/>
  <c r="F39" i="24" s="1"/>
  <c r="T38" i="24"/>
  <c r="U38" i="24" s="1"/>
  <c r="Q38" i="24"/>
  <c r="R38" i="24" s="1"/>
  <c r="N38" i="24"/>
  <c r="O38" i="24" s="1"/>
  <c r="K38" i="24"/>
  <c r="L38" i="24" s="1"/>
  <c r="H38" i="24"/>
  <c r="I38" i="24" s="1"/>
  <c r="E38" i="24"/>
  <c r="F38" i="24" s="1"/>
  <c r="T37" i="24"/>
  <c r="U37" i="24" s="1"/>
  <c r="Q37" i="24"/>
  <c r="R37" i="24" s="1"/>
  <c r="N37" i="24"/>
  <c r="O37" i="24" s="1"/>
  <c r="K37" i="24"/>
  <c r="L37" i="24" s="1"/>
  <c r="H37" i="24"/>
  <c r="I37" i="24" s="1"/>
  <c r="E37" i="24"/>
  <c r="F37" i="24" s="1"/>
  <c r="T36" i="24"/>
  <c r="U36" i="24" s="1"/>
  <c r="Q36" i="24"/>
  <c r="R36" i="24" s="1"/>
  <c r="N36" i="24"/>
  <c r="O36" i="24" s="1"/>
  <c r="K36" i="24"/>
  <c r="L36" i="24" s="1"/>
  <c r="H36" i="24"/>
  <c r="I36" i="24" s="1"/>
  <c r="E36" i="24"/>
  <c r="F36" i="24" s="1"/>
  <c r="T35" i="24"/>
  <c r="U35" i="24" s="1"/>
  <c r="Q35" i="24"/>
  <c r="R35" i="24" s="1"/>
  <c r="N35" i="24"/>
  <c r="O35" i="24" s="1"/>
  <c r="K35" i="24"/>
  <c r="L35" i="24" s="1"/>
  <c r="H35" i="24"/>
  <c r="I35" i="24" s="1"/>
  <c r="E35" i="24"/>
  <c r="F35" i="24" s="1"/>
  <c r="T34" i="24"/>
  <c r="U34" i="24" s="1"/>
  <c r="Q34" i="24"/>
  <c r="R34" i="24" s="1"/>
  <c r="N34" i="24"/>
  <c r="O34" i="24" s="1"/>
  <c r="K34" i="24"/>
  <c r="L34" i="24" s="1"/>
  <c r="H34" i="24"/>
  <c r="I34" i="24" s="1"/>
  <c r="E34" i="24"/>
  <c r="F34" i="24" s="1"/>
  <c r="T33" i="24"/>
  <c r="U33" i="24" s="1"/>
  <c r="Q33" i="24"/>
  <c r="R33" i="24" s="1"/>
  <c r="N33" i="24"/>
  <c r="O33" i="24" s="1"/>
  <c r="K33" i="24"/>
  <c r="L33" i="24" s="1"/>
  <c r="H33" i="24"/>
  <c r="I33" i="24" s="1"/>
  <c r="E33" i="24"/>
  <c r="F33" i="24" s="1"/>
  <c r="T32" i="24"/>
  <c r="U32" i="24" s="1"/>
  <c r="Q32" i="24"/>
  <c r="R32" i="24" s="1"/>
  <c r="N32" i="24"/>
  <c r="O32" i="24" s="1"/>
  <c r="K32" i="24"/>
  <c r="L32" i="24" s="1"/>
  <c r="H32" i="24"/>
  <c r="I32" i="24" s="1"/>
  <c r="E32" i="24"/>
  <c r="F32" i="24" s="1"/>
  <c r="T31" i="24"/>
  <c r="U31" i="24" s="1"/>
  <c r="Q31" i="24"/>
  <c r="R31" i="24" s="1"/>
  <c r="N31" i="24"/>
  <c r="O31" i="24" s="1"/>
  <c r="K31" i="24"/>
  <c r="L31" i="24" s="1"/>
  <c r="H31" i="24"/>
  <c r="I31" i="24" s="1"/>
  <c r="E31" i="24"/>
  <c r="F31" i="24" s="1"/>
  <c r="T30" i="24"/>
  <c r="U30" i="24" s="1"/>
  <c r="Q30" i="24"/>
  <c r="R30" i="24" s="1"/>
  <c r="N30" i="24"/>
  <c r="O30" i="24" s="1"/>
  <c r="K30" i="24"/>
  <c r="L30" i="24" s="1"/>
  <c r="H30" i="24"/>
  <c r="I30" i="24" s="1"/>
  <c r="E30" i="24"/>
  <c r="F30" i="24" s="1"/>
  <c r="T29" i="24"/>
  <c r="U29" i="24" s="1"/>
  <c r="Q29" i="24"/>
  <c r="R29" i="24" s="1"/>
  <c r="N29" i="24"/>
  <c r="O29" i="24" s="1"/>
  <c r="K29" i="24"/>
  <c r="L29" i="24" s="1"/>
  <c r="H29" i="24"/>
  <c r="I29" i="24" s="1"/>
  <c r="E29" i="24"/>
  <c r="F29" i="24" s="1"/>
  <c r="T28" i="24"/>
  <c r="U28" i="24" s="1"/>
  <c r="Q28" i="24"/>
  <c r="R28" i="24" s="1"/>
  <c r="N28" i="24"/>
  <c r="O28" i="24" s="1"/>
  <c r="K28" i="24"/>
  <c r="L28" i="24" s="1"/>
  <c r="H28" i="24"/>
  <c r="I28" i="24" s="1"/>
  <c r="E28" i="24"/>
  <c r="F28" i="24" s="1"/>
  <c r="T27" i="24"/>
  <c r="U27" i="24" s="1"/>
  <c r="Q27" i="24"/>
  <c r="R27" i="24" s="1"/>
  <c r="N27" i="24"/>
  <c r="O27" i="24" s="1"/>
  <c r="K27" i="24"/>
  <c r="L27" i="24" s="1"/>
  <c r="H27" i="24"/>
  <c r="I27" i="24" s="1"/>
  <c r="E27" i="24"/>
  <c r="F27" i="24" s="1"/>
  <c r="T26" i="24"/>
  <c r="U26" i="24" s="1"/>
  <c r="Q26" i="24"/>
  <c r="R26" i="24" s="1"/>
  <c r="N26" i="24"/>
  <c r="O26" i="24" s="1"/>
  <c r="K26" i="24"/>
  <c r="L26" i="24" s="1"/>
  <c r="H26" i="24"/>
  <c r="I26" i="24" s="1"/>
  <c r="E26" i="24"/>
  <c r="F26" i="24" s="1"/>
  <c r="T25" i="24"/>
  <c r="U25" i="24" s="1"/>
  <c r="Q25" i="24"/>
  <c r="R25" i="24" s="1"/>
  <c r="N25" i="24"/>
  <c r="O25" i="24" s="1"/>
  <c r="K25" i="24"/>
  <c r="L25" i="24" s="1"/>
  <c r="H25" i="24"/>
  <c r="I25" i="24" s="1"/>
  <c r="E25" i="24"/>
  <c r="F25" i="24" s="1"/>
  <c r="T24" i="24"/>
  <c r="U24" i="24" s="1"/>
  <c r="Q24" i="24"/>
  <c r="R24" i="24" s="1"/>
  <c r="N24" i="24"/>
  <c r="O24" i="24" s="1"/>
  <c r="K24" i="24"/>
  <c r="L24" i="24" s="1"/>
  <c r="H24" i="24"/>
  <c r="I24" i="24" s="1"/>
  <c r="E24" i="24"/>
  <c r="F24" i="24" s="1"/>
  <c r="T23" i="24"/>
  <c r="U23" i="24" s="1"/>
  <c r="Q23" i="24"/>
  <c r="R23" i="24" s="1"/>
  <c r="N23" i="24"/>
  <c r="O23" i="24" s="1"/>
  <c r="K23" i="24"/>
  <c r="L23" i="24" s="1"/>
  <c r="H23" i="24"/>
  <c r="I23" i="24" s="1"/>
  <c r="E23" i="24"/>
  <c r="F23" i="24" s="1"/>
  <c r="T22" i="24"/>
  <c r="U22" i="24" s="1"/>
  <c r="Q22" i="24"/>
  <c r="R22" i="24" s="1"/>
  <c r="N22" i="24"/>
  <c r="O22" i="24" s="1"/>
  <c r="K22" i="24"/>
  <c r="L22" i="24" s="1"/>
  <c r="H22" i="24"/>
  <c r="I22" i="24" s="1"/>
  <c r="E22" i="24"/>
  <c r="F22" i="24" s="1"/>
  <c r="T21" i="24"/>
  <c r="U21" i="24" s="1"/>
  <c r="Q21" i="24"/>
  <c r="R21" i="24" s="1"/>
  <c r="N21" i="24"/>
  <c r="O21" i="24" s="1"/>
  <c r="K21" i="24"/>
  <c r="L21" i="24" s="1"/>
  <c r="H21" i="24"/>
  <c r="I21" i="24" s="1"/>
  <c r="E21" i="24"/>
  <c r="F21" i="24" s="1"/>
  <c r="T20" i="24"/>
  <c r="U20" i="24" s="1"/>
  <c r="Q20" i="24"/>
  <c r="R20" i="24" s="1"/>
  <c r="N20" i="24"/>
  <c r="O20" i="24" s="1"/>
  <c r="K20" i="24"/>
  <c r="L20" i="24" s="1"/>
  <c r="H20" i="24"/>
  <c r="I20" i="24" s="1"/>
  <c r="E20" i="24"/>
  <c r="F20" i="24" s="1"/>
  <c r="T19" i="24"/>
  <c r="U19" i="24" s="1"/>
  <c r="Q19" i="24"/>
  <c r="R19" i="24" s="1"/>
  <c r="N19" i="24"/>
  <c r="O19" i="24" s="1"/>
  <c r="K19" i="24"/>
  <c r="L19" i="24" s="1"/>
  <c r="H19" i="24"/>
  <c r="I19" i="24" s="1"/>
  <c r="E19" i="24"/>
  <c r="F19" i="24" s="1"/>
  <c r="T18" i="24"/>
  <c r="U18" i="24" s="1"/>
  <c r="Q18" i="24"/>
  <c r="R18" i="24" s="1"/>
  <c r="N18" i="24"/>
  <c r="O18" i="24" s="1"/>
  <c r="K18" i="24"/>
  <c r="L18" i="24" s="1"/>
  <c r="H18" i="24"/>
  <c r="I18" i="24" s="1"/>
  <c r="E18" i="24"/>
  <c r="F18" i="24" s="1"/>
  <c r="T17" i="24"/>
  <c r="U17" i="24" s="1"/>
  <c r="Q17" i="24"/>
  <c r="R17" i="24" s="1"/>
  <c r="N17" i="24"/>
  <c r="O17" i="24" s="1"/>
  <c r="K17" i="24"/>
  <c r="L17" i="24" s="1"/>
  <c r="H17" i="24"/>
  <c r="I17" i="24" s="1"/>
  <c r="E17" i="24"/>
  <c r="F17" i="24" s="1"/>
  <c r="T16" i="24"/>
  <c r="U16" i="24" s="1"/>
  <c r="Q16" i="24"/>
  <c r="R16" i="24" s="1"/>
  <c r="N16" i="24"/>
  <c r="O16" i="24" s="1"/>
  <c r="K16" i="24"/>
  <c r="L16" i="24" s="1"/>
  <c r="H16" i="24"/>
  <c r="I16" i="24" s="1"/>
  <c r="E16" i="24"/>
  <c r="F16" i="24" s="1"/>
  <c r="T15" i="24"/>
  <c r="U15" i="24" s="1"/>
  <c r="Q15" i="24"/>
  <c r="R15" i="24" s="1"/>
  <c r="N15" i="24"/>
  <c r="O15" i="24" s="1"/>
  <c r="K15" i="24"/>
  <c r="L15" i="24" s="1"/>
  <c r="H15" i="24"/>
  <c r="I15" i="24" s="1"/>
  <c r="E15" i="24"/>
  <c r="F15" i="24" s="1"/>
  <c r="T14" i="24"/>
  <c r="U14" i="24" s="1"/>
  <c r="Q14" i="24"/>
  <c r="R14" i="24" s="1"/>
  <c r="N14" i="24"/>
  <c r="O14" i="24" s="1"/>
  <c r="K14" i="24"/>
  <c r="L14" i="24" s="1"/>
  <c r="H14" i="24"/>
  <c r="I14" i="24" s="1"/>
  <c r="E14" i="24"/>
  <c r="F14" i="24" s="1"/>
  <c r="T13" i="24"/>
  <c r="U13" i="24" s="1"/>
  <c r="Q13" i="24"/>
  <c r="R13" i="24" s="1"/>
  <c r="N13" i="24"/>
  <c r="O13" i="24" s="1"/>
  <c r="K13" i="24"/>
  <c r="L13" i="24" s="1"/>
  <c r="H13" i="24"/>
  <c r="I13" i="24" s="1"/>
  <c r="E13" i="24"/>
  <c r="F13" i="24" s="1"/>
  <c r="T12" i="24"/>
  <c r="U12" i="24" s="1"/>
  <c r="Q12" i="24"/>
  <c r="R12" i="24" s="1"/>
  <c r="N12" i="24"/>
  <c r="O12" i="24" s="1"/>
  <c r="K12" i="24"/>
  <c r="L12" i="24" s="1"/>
  <c r="H12" i="24"/>
  <c r="I12" i="24" s="1"/>
  <c r="E12" i="24"/>
  <c r="F12" i="24" s="1"/>
  <c r="T11" i="24"/>
  <c r="U11" i="24" s="1"/>
  <c r="Q11" i="24"/>
  <c r="R11" i="24" s="1"/>
  <c r="N11" i="24"/>
  <c r="O11" i="24" s="1"/>
  <c r="K11" i="24"/>
  <c r="L11" i="24" s="1"/>
  <c r="H11" i="24"/>
  <c r="I11" i="24" s="1"/>
  <c r="E11" i="24"/>
  <c r="F11" i="24" s="1"/>
  <c r="T10" i="24"/>
  <c r="U10" i="24" s="1"/>
  <c r="Q10" i="24"/>
  <c r="R10" i="24" s="1"/>
  <c r="N10" i="24"/>
  <c r="O10" i="24" s="1"/>
  <c r="K10" i="24"/>
  <c r="L10" i="24" s="1"/>
  <c r="H10" i="24"/>
  <c r="I10" i="24" s="1"/>
  <c r="E10" i="24"/>
  <c r="F10" i="24" s="1"/>
  <c r="T9" i="24"/>
  <c r="U9" i="24" s="1"/>
  <c r="Q9" i="24"/>
  <c r="R9" i="24" s="1"/>
  <c r="N9" i="24"/>
  <c r="O9" i="24" s="1"/>
  <c r="K9" i="24"/>
  <c r="L9" i="24" s="1"/>
  <c r="H9" i="24"/>
  <c r="I9" i="24" s="1"/>
  <c r="E9" i="24"/>
  <c r="F9" i="24" s="1"/>
  <c r="T8" i="24"/>
  <c r="U8" i="24" s="1"/>
  <c r="Q8" i="24"/>
  <c r="R8" i="24" s="1"/>
  <c r="N8" i="24"/>
  <c r="O8" i="24" s="1"/>
  <c r="K8" i="24"/>
  <c r="L8" i="24" s="1"/>
  <c r="H8" i="24"/>
  <c r="I8" i="24" s="1"/>
  <c r="E8" i="24"/>
  <c r="F8" i="24" s="1"/>
  <c r="T7" i="24"/>
  <c r="U7" i="24" s="1"/>
  <c r="Q7" i="24"/>
  <c r="R7" i="24" s="1"/>
  <c r="N7" i="24"/>
  <c r="O7" i="24" s="1"/>
  <c r="K7" i="24"/>
  <c r="L7" i="24" s="1"/>
  <c r="I7" i="24"/>
  <c r="E7" i="24"/>
  <c r="F7" i="24" s="1"/>
  <c r="J20" i="30" l="1"/>
  <c r="L9" i="44" l="1"/>
  <c r="Y9" i="42" l="1"/>
  <c r="Y8" i="42"/>
  <c r="Y7" i="42"/>
  <c r="Y6" i="42"/>
  <c r="Y5" i="42"/>
  <c r="AH64" i="29"/>
  <c r="AJ64" i="29" s="1"/>
  <c r="D36" i="30" s="1"/>
  <c r="L16" i="29"/>
  <c r="AI60" i="29"/>
  <c r="G34" i="42" l="1"/>
  <c r="G33" i="42"/>
  <c r="G14" i="42"/>
  <c r="H14" i="42" s="1"/>
  <c r="D3" i="44" l="1"/>
  <c r="D4" i="44" s="1"/>
  <c r="C44" i="41" l="1"/>
  <c r="C45" i="41"/>
  <c r="C47" i="41" l="1"/>
  <c r="C48" i="41" s="1"/>
  <c r="D56" i="30" l="1"/>
  <c r="E38" i="41"/>
  <c r="C56" i="30"/>
  <c r="AA14" i="42"/>
  <c r="AA15" i="42"/>
  <c r="AB16" i="42"/>
  <c r="G23" i="42"/>
  <c r="G22" i="42"/>
  <c r="H22" i="42" s="1"/>
  <c r="G21" i="42"/>
  <c r="G20" i="42"/>
  <c r="G19" i="42"/>
  <c r="H19" i="42" s="1"/>
  <c r="D10" i="42"/>
  <c r="E10" i="42"/>
  <c r="F10" i="42"/>
  <c r="D9" i="42"/>
  <c r="E9" i="42"/>
  <c r="F9" i="42"/>
  <c r="D6" i="42"/>
  <c r="E6" i="42"/>
  <c r="F6" i="42"/>
  <c r="D7" i="42"/>
  <c r="E7" i="42"/>
  <c r="F7" i="42"/>
  <c r="D8" i="42"/>
  <c r="E8" i="42"/>
  <c r="F8" i="42"/>
  <c r="E5" i="42"/>
  <c r="F5" i="42"/>
  <c r="D5" i="42"/>
  <c r="G37" i="42"/>
  <c r="G36" i="42"/>
  <c r="H36" i="42" s="1"/>
  <c r="G35" i="42"/>
  <c r="H35" i="42" s="1"/>
  <c r="Z9" i="42"/>
  <c r="R9" i="42"/>
  <c r="R8" i="42"/>
  <c r="R7" i="42"/>
  <c r="R6" i="42"/>
  <c r="R5" i="42"/>
  <c r="D60" i="41"/>
  <c r="F5" i="41"/>
  <c r="G5" i="41" s="1"/>
  <c r="F6" i="41"/>
  <c r="G6" i="41" s="1"/>
  <c r="F7" i="41"/>
  <c r="G7" i="41" s="1"/>
  <c r="F8" i="41"/>
  <c r="G8" i="41" s="1"/>
  <c r="F9" i="41"/>
  <c r="G9" i="41" s="1"/>
  <c r="F10" i="41"/>
  <c r="H23" i="42" l="1"/>
  <c r="H21" i="42"/>
  <c r="H20" i="42"/>
  <c r="C38" i="41"/>
  <c r="N16" i="41"/>
  <c r="G10" i="41"/>
  <c r="H37" i="42"/>
  <c r="D42" i="30" s="1"/>
  <c r="G10" i="42"/>
  <c r="N10" i="43" s="1"/>
  <c r="G9" i="42"/>
  <c r="N9" i="43" s="1"/>
  <c r="G8" i="42"/>
  <c r="H8" i="42" s="1"/>
  <c r="G6" i="42"/>
  <c r="G5" i="42"/>
  <c r="H33" i="42"/>
  <c r="E60" i="41"/>
  <c r="F60" i="41" s="1"/>
  <c r="N8" i="43" l="1"/>
  <c r="H10" i="42"/>
  <c r="K10" i="42"/>
  <c r="H5" i="42"/>
  <c r="H34" i="42"/>
  <c r="D38" i="30" s="1"/>
  <c r="H6" i="42"/>
  <c r="H9" i="42"/>
  <c r="H7" i="42"/>
  <c r="N7" i="41"/>
  <c r="C7" i="41" s="1"/>
  <c r="G11" i="42"/>
  <c r="K9" i="42" l="1"/>
  <c r="H11" i="42"/>
  <c r="D20" i="30" s="1"/>
  <c r="D7" i="41"/>
  <c r="E7" i="41" s="1"/>
  <c r="H40" i="30"/>
  <c r="H38" i="30"/>
  <c r="K8" i="42" l="1"/>
  <c r="C48" i="30"/>
  <c r="I22" i="29"/>
  <c r="K7" i="42" l="1"/>
  <c r="G38" i="42"/>
  <c r="H38" i="42" s="1"/>
  <c r="H42" i="30"/>
  <c r="K6" i="42" l="1"/>
  <c r="K5" i="42" s="1"/>
  <c r="B12" i="39"/>
  <c r="B32" i="39" s="1"/>
  <c r="B12" i="38"/>
  <c r="B32" i="38" s="1"/>
  <c r="K11" i="42" l="1"/>
  <c r="D12" i="30"/>
  <c r="O6" i="42" l="1"/>
  <c r="N6" i="42" s="1"/>
  <c r="C43" i="42" s="1"/>
  <c r="Y11" i="42"/>
  <c r="F11" i="41"/>
  <c r="G11" i="41" s="1"/>
  <c r="D10" i="30" l="1"/>
  <c r="D8" i="30"/>
  <c r="D14" i="30"/>
  <c r="B22" i="21"/>
  <c r="B21" i="21"/>
  <c r="B20" i="21"/>
  <c r="B19" i="21"/>
  <c r="B18" i="21"/>
  <c r="B15" i="21"/>
  <c r="B14" i="21"/>
  <c r="B13" i="21"/>
  <c r="B11" i="21"/>
  <c r="B8" i="21"/>
  <c r="B7" i="21"/>
  <c r="J14" i="30" l="1"/>
  <c r="AJ62" i="29" s="1"/>
  <c r="J16" i="30"/>
  <c r="J69" i="30"/>
  <c r="C69" i="30"/>
  <c r="C67" i="30"/>
  <c r="C30" i="30"/>
  <c r="D30" i="30"/>
  <c r="H69" i="30"/>
  <c r="B18" i="38"/>
  <c r="B18" i="39"/>
  <c r="B13" i="39"/>
  <c r="B13" i="38"/>
  <c r="B8" i="39"/>
  <c r="C8" i="39" s="1"/>
  <c r="B8" i="38"/>
  <c r="C8" i="38" s="1"/>
  <c r="B21" i="39"/>
  <c r="B21" i="38"/>
  <c r="B15" i="38"/>
  <c r="B15" i="39"/>
  <c r="B11" i="38"/>
  <c r="B11" i="39"/>
  <c r="B22" i="38"/>
  <c r="B22" i="39"/>
  <c r="B7" i="38"/>
  <c r="C7" i="38" s="1"/>
  <c r="B7" i="39"/>
  <c r="C7" i="39" s="1"/>
  <c r="B20" i="39"/>
  <c r="B20" i="38"/>
  <c r="B19" i="39"/>
  <c r="B19" i="38"/>
  <c r="B14" i="38"/>
  <c r="B14" i="39"/>
  <c r="B19" i="25"/>
  <c r="B20" i="25"/>
  <c r="B21" i="25"/>
  <c r="B22" i="25"/>
  <c r="B18" i="25"/>
  <c r="B12" i="25"/>
  <c r="B32" i="25" s="1"/>
  <c r="B13" i="25"/>
  <c r="B14" i="25"/>
  <c r="B15" i="25"/>
  <c r="B11" i="25"/>
  <c r="B7" i="25"/>
  <c r="C7" i="25" s="1"/>
  <c r="B8" i="25"/>
  <c r="C8" i="25" s="1"/>
  <c r="B32" i="21"/>
  <c r="C22" i="21"/>
  <c r="C21" i="21"/>
  <c r="C19" i="21"/>
  <c r="C15" i="21"/>
  <c r="C14" i="21"/>
  <c r="C13" i="21"/>
  <c r="C12" i="21"/>
  <c r="C8" i="21"/>
  <c r="C7" i="21"/>
  <c r="G15" i="42" l="1"/>
  <c r="L5" i="42" s="1"/>
  <c r="C22" i="38"/>
  <c r="G27" i="42"/>
  <c r="N5" i="43" s="1"/>
  <c r="N8" i="41"/>
  <c r="S7" i="42"/>
  <c r="G24" i="42"/>
  <c r="H24" i="42" s="1"/>
  <c r="N9" i="41"/>
  <c r="S8" i="42"/>
  <c r="N10" i="41"/>
  <c r="S9" i="42"/>
  <c r="C22" i="39"/>
  <c r="C19" i="39"/>
  <c r="C19" i="38"/>
  <c r="C21" i="39"/>
  <c r="C13" i="39"/>
  <c r="C12" i="39"/>
  <c r="C14" i="39"/>
  <c r="C15" i="39"/>
  <c r="C13" i="38"/>
  <c r="C14" i="38"/>
  <c r="C12" i="38"/>
  <c r="C15" i="38"/>
  <c r="C21" i="38"/>
  <c r="C15" i="25"/>
  <c r="C21" i="25"/>
  <c r="C19" i="25"/>
  <c r="C22" i="25"/>
  <c r="C13" i="25"/>
  <c r="C12" i="25"/>
  <c r="C14" i="25"/>
  <c r="O8" i="42" l="1"/>
  <c r="N8" i="42" s="1"/>
  <c r="T9" i="42"/>
  <c r="U9" i="42" s="1"/>
  <c r="V9" i="42" s="1"/>
  <c r="H27" i="42"/>
  <c r="S5" i="42"/>
  <c r="G16" i="42"/>
  <c r="H15" i="42"/>
  <c r="T8" i="42"/>
  <c r="U8" i="42" s="1"/>
  <c r="V8" i="42" s="1"/>
  <c r="T7" i="42"/>
  <c r="U7" i="42" s="1"/>
  <c r="B6" i="21"/>
  <c r="B6" i="38" s="1"/>
  <c r="C6" i="38" s="1"/>
  <c r="D16" i="30"/>
  <c r="H18" i="30" s="1"/>
  <c r="D18" i="30"/>
  <c r="G28" i="42"/>
  <c r="D24" i="30"/>
  <c r="C10" i="41"/>
  <c r="C8" i="41"/>
  <c r="C9" i="41"/>
  <c r="S6" i="42" l="1"/>
  <c r="N6" i="43"/>
  <c r="N11" i="43" s="1"/>
  <c r="C34" i="38"/>
  <c r="C35" i="38" s="1"/>
  <c r="H16" i="42"/>
  <c r="T30" i="31"/>
  <c r="T29" i="31"/>
  <c r="T40" i="31" s="1"/>
  <c r="H67" i="30" s="1"/>
  <c r="W8" i="42"/>
  <c r="X8" i="42" s="1"/>
  <c r="W7" i="42"/>
  <c r="C6" i="21"/>
  <c r="C34" i="21" s="1"/>
  <c r="C35" i="21" s="1"/>
  <c r="B6" i="25"/>
  <c r="C6" i="25" s="1"/>
  <c r="C34" i="25" s="1"/>
  <c r="C35" i="25" s="1"/>
  <c r="B6" i="39"/>
  <c r="C6" i="39" s="1"/>
  <c r="C34" i="39" s="1"/>
  <c r="C35" i="39" s="1"/>
  <c r="T5" i="42"/>
  <c r="U5" i="42" s="1"/>
  <c r="T6" i="42"/>
  <c r="U6" i="42" s="1"/>
  <c r="V6" i="42" s="1"/>
  <c r="W6" i="42"/>
  <c r="W9" i="42"/>
  <c r="V7" i="42"/>
  <c r="G29" i="42"/>
  <c r="H28" i="42"/>
  <c r="D59" i="30"/>
  <c r="D61" i="30" s="1"/>
  <c r="N5" i="41"/>
  <c r="D8" i="41"/>
  <c r="E8" i="41" s="1"/>
  <c r="D9" i="41"/>
  <c r="E9" i="41" s="1"/>
  <c r="N6" i="41"/>
  <c r="D10" i="41"/>
  <c r="E10" i="41" s="1"/>
  <c r="W13" i="31" l="1"/>
  <c r="W14" i="31"/>
  <c r="T34" i="31"/>
  <c r="T33" i="31"/>
  <c r="T37" i="31"/>
  <c r="C45" i="42"/>
  <c r="V5" i="42"/>
  <c r="H29" i="42"/>
  <c r="S10" i="42"/>
  <c r="G41" i="42"/>
  <c r="C5" i="41"/>
  <c r="D5" i="41" s="1"/>
  <c r="E5" i="41" s="1"/>
  <c r="C6" i="41"/>
  <c r="G54" i="42"/>
  <c r="G51" i="42"/>
  <c r="X9" i="42"/>
  <c r="Z8" i="42" s="1"/>
  <c r="W5" i="42"/>
  <c r="X5" i="42" s="1"/>
  <c r="AA5" i="42" s="1"/>
  <c r="AA8" i="42"/>
  <c r="D34" i="30"/>
  <c r="N11" i="41"/>
  <c r="X7" i="42"/>
  <c r="X6" i="42"/>
  <c r="B25" i="21" l="1"/>
  <c r="T43" i="31"/>
  <c r="B29" i="21" s="1"/>
  <c r="W16" i="31"/>
  <c r="F52" i="30"/>
  <c r="B25" i="38"/>
  <c r="B34" i="38" s="1"/>
  <c r="B35" i="38" s="1"/>
  <c r="B36" i="38" s="1"/>
  <c r="B37" i="38" s="1"/>
  <c r="D52" i="30"/>
  <c r="H51" i="42"/>
  <c r="D26" i="30" s="1"/>
  <c r="H54" i="42"/>
  <c r="D22" i="30" s="1"/>
  <c r="N10" i="42"/>
  <c r="H41" i="42"/>
  <c r="D28" i="30" s="1"/>
  <c r="Z5" i="42"/>
  <c r="AB5" i="42" s="1"/>
  <c r="Z6" i="42"/>
  <c r="Z7" i="42"/>
  <c r="T10" i="42"/>
  <c r="U10" i="42" s="1"/>
  <c r="AA9" i="42"/>
  <c r="AB9" i="42" s="1"/>
  <c r="AB8" i="42"/>
  <c r="C29" i="41"/>
  <c r="C31" i="41" s="1"/>
  <c r="O31" i="41" s="1"/>
  <c r="D6" i="41"/>
  <c r="E6" i="41" s="1"/>
  <c r="AA7" i="42"/>
  <c r="AA6" i="42"/>
  <c r="AC11" i="42" l="1"/>
  <c r="T32" i="31"/>
  <c r="V10" i="42"/>
  <c r="AB7" i="42"/>
  <c r="C14" i="41"/>
  <c r="C23" i="41"/>
  <c r="C17" i="41"/>
  <c r="C30" i="41"/>
  <c r="E11" i="41"/>
  <c r="C26" i="41"/>
  <c r="C20" i="41"/>
  <c r="D11" i="41"/>
  <c r="C11" i="41"/>
  <c r="AB6" i="42"/>
  <c r="T35" i="31" l="1"/>
  <c r="H52" i="30"/>
  <c r="T36" i="31"/>
  <c r="T38" i="31"/>
  <c r="L52" i="30" s="1"/>
  <c r="AB10" i="42"/>
  <c r="AB14" i="42" s="1"/>
  <c r="AB15" i="42" s="1"/>
  <c r="N25" i="41"/>
  <c r="N22" i="41"/>
  <c r="C16" i="41"/>
  <c r="O16" i="41" s="1"/>
  <c r="P16" i="41" s="1"/>
  <c r="N19" i="41"/>
  <c r="C25" i="41"/>
  <c r="O25" i="41" s="1"/>
  <c r="C19" i="41"/>
  <c r="O19" i="41" s="1"/>
  <c r="D31" i="41"/>
  <c r="D30" i="41"/>
  <c r="C22" i="41"/>
  <c r="O22" i="41" s="1"/>
  <c r="N28" i="41"/>
  <c r="N31" i="41"/>
  <c r="P31" i="41" s="1"/>
  <c r="C28" i="41"/>
  <c r="O28" i="41" s="1"/>
  <c r="J52" i="30" l="1"/>
  <c r="U36" i="31"/>
  <c r="N52" i="30"/>
  <c r="U35" i="31"/>
  <c r="C15" i="41"/>
  <c r="D15" i="41" s="1"/>
  <c r="P25" i="41"/>
  <c r="P19" i="41"/>
  <c r="P22" i="41"/>
  <c r="C24" i="41"/>
  <c r="C18" i="41"/>
  <c r="E30" i="41"/>
  <c r="E31" i="41" s="1"/>
  <c r="C21" i="41"/>
  <c r="P28" i="41"/>
  <c r="C27" i="41"/>
  <c r="D16" i="41" l="1"/>
  <c r="E15" i="41" s="1"/>
  <c r="E16" i="41" s="1"/>
  <c r="E37" i="41"/>
  <c r="E39" i="41" s="1"/>
  <c r="D18" i="41"/>
  <c r="D19" i="41"/>
  <c r="D25" i="41"/>
  <c r="D24" i="41"/>
  <c r="D21" i="41"/>
  <c r="D22" i="41"/>
  <c r="D27" i="41"/>
  <c r="D28" i="41"/>
  <c r="C37" i="41" l="1"/>
  <c r="E18" i="41"/>
  <c r="E19" i="41" s="1"/>
  <c r="E24" i="41"/>
  <c r="E25" i="41" s="1"/>
  <c r="E27" i="41"/>
  <c r="E28" i="41" s="1"/>
  <c r="E21" i="41"/>
  <c r="E22" i="41" s="1"/>
  <c r="G38" i="41" l="1"/>
  <c r="E40" i="41"/>
  <c r="E41" i="41" s="1"/>
  <c r="D46" i="30" s="1"/>
  <c r="B25" i="25" s="1"/>
  <c r="F46" i="30" l="1"/>
  <c r="G41" i="41"/>
  <c r="C41" i="41"/>
  <c r="F54" i="30" l="1"/>
  <c r="D54" i="30" l="1"/>
  <c r="D48" i="30" l="1"/>
  <c r="B25" i="39" s="1"/>
  <c r="B34" i="39" s="1"/>
  <c r="B35" i="39" s="1"/>
  <c r="B36" i="39" s="1"/>
  <c r="B37" i="39" s="1"/>
  <c r="AC6" i="42" s="1"/>
  <c r="B34" i="21"/>
  <c r="B35" i="21" s="1"/>
  <c r="B36" i="21" s="1"/>
  <c r="B37" i="21" s="1"/>
  <c r="H48" i="30" l="1"/>
  <c r="F48" i="30"/>
  <c r="F50" i="30" s="1"/>
  <c r="D50" i="30"/>
  <c r="B34" i="25"/>
  <c r="B35" i="25" s="1"/>
  <c r="B36" i="25" s="1"/>
  <c r="B37" i="25" s="1"/>
  <c r="H46" i="30" l="1"/>
  <c r="J48" i="30"/>
  <c r="L48" i="30" s="1"/>
  <c r="N48" i="30" s="1"/>
  <c r="H50" i="30" l="1"/>
  <c r="H54" i="30"/>
  <c r="J46" i="30"/>
  <c r="J54" i="30" s="1"/>
  <c r="L46" i="30" l="1"/>
  <c r="J50" i="30"/>
  <c r="L50" i="30" l="1"/>
  <c r="N50" i="30" s="1"/>
  <c r="L54" i="30"/>
  <c r="N54" i="30" s="1"/>
  <c r="N46" i="30"/>
</calcChain>
</file>

<file path=xl/sharedStrings.xml><?xml version="1.0" encoding="utf-8"?>
<sst xmlns="http://schemas.openxmlformats.org/spreadsheetml/2006/main" count="803" uniqueCount="444">
  <si>
    <t>Años de Servicio</t>
  </si>
  <si>
    <t>A1</t>
  </si>
  <si>
    <t>A2</t>
  </si>
  <si>
    <t>Haber Regulador</t>
  </si>
  <si>
    <t>Importe Anual</t>
  </si>
  <si>
    <t>Importe Mensual</t>
  </si>
  <si>
    <t>Años</t>
  </si>
  <si>
    <t>Meses</t>
  </si>
  <si>
    <t>Días</t>
  </si>
  <si>
    <t>Fecha jubilación</t>
  </si>
  <si>
    <t>Trienios</t>
  </si>
  <si>
    <t>SI</t>
  </si>
  <si>
    <t>NO</t>
  </si>
  <si>
    <t>Incapacidad Total para profesión habitual</t>
  </si>
  <si>
    <t>Incapacidad Absoluta para toda Profesión</t>
  </si>
  <si>
    <t>Profesores de Musica y Artes Escénicas</t>
  </si>
  <si>
    <t>Sueldo Base</t>
  </si>
  <si>
    <t>Isla No Capitalina</t>
  </si>
  <si>
    <t>Trienios Residencia Isla No Capitalina</t>
  </si>
  <si>
    <t>Isla Capitalina</t>
  </si>
  <si>
    <t>MUFACE</t>
  </si>
  <si>
    <t>Clase Pasivas</t>
  </si>
  <si>
    <t>Tiempo de servicio en el Cuerpo E    (Seguridad Social grupo 6,10, 11, 12 y empleadas hogar)</t>
  </si>
  <si>
    <t>Tiempo de servicio en el Cuerpo C2  (Seguridad Social grupo 7 y 9)</t>
  </si>
  <si>
    <t>Tiempo de servicio en el Cuerpo C1  (Seguridad Social grupo 3, 4 ,5 , 8 y Autónomos en general)</t>
  </si>
  <si>
    <t>Tiempo de servicio en el Cuerpo B</t>
  </si>
  <si>
    <t>Tiempo de servicio en el Cuerpo A2  (Seguridad Social grupo 2+ Autónomos Ingen. Técnicos y peritos)</t>
  </si>
  <si>
    <t xml:space="preserve">Tiempo de servicio en el Cuerpo A1  (Seguridad Social grupo 1+ Autónomos licenciados e ingenieros) </t>
  </si>
  <si>
    <t>Prestado servicios en dos o más Cuerpos</t>
  </si>
  <si>
    <t>Rendimiento Bruto</t>
  </si>
  <si>
    <t>Edad</t>
  </si>
  <si>
    <t>Discapacidad del contribuyente igual o superior al 65%</t>
  </si>
  <si>
    <t>El contribuyente es el único que se desgrava por hijos.</t>
  </si>
  <si>
    <t>Número de hijos menores de veinticinco años o con discapacidad cualquiera que sea su edad</t>
  </si>
  <si>
    <t xml:space="preserve">De los anteriores, número de hijos menores de 3 años </t>
  </si>
  <si>
    <t xml:space="preserve">Número de descendientes con grado de discapacidad igual o mayor del 33% y menor del 65% </t>
  </si>
  <si>
    <t>Número de descendientes con grado de discapacidad igual o mayor del 65%</t>
  </si>
  <si>
    <t>Número de ascendientes mayores de 65 años o con discapacidad cualquiera que sea su edad</t>
  </si>
  <si>
    <t xml:space="preserve">De los anteriores, número de asecendientes con más de 75 años </t>
  </si>
  <si>
    <t>Número de ascendientes con grado de discapacidad igual o mayor del 33% y menor del 65%</t>
  </si>
  <si>
    <t>Número de ascendientes con grado de discapacidad igual o mayor del 65%</t>
  </si>
  <si>
    <t>Discapacidad del contribuyente entre el 33% y el 65%</t>
  </si>
  <si>
    <t>DATOS PARA EL CÁLCULO DEL % DE RETENCIÓN DE IRPF</t>
  </si>
  <si>
    <t>CONTRIBUYENTE</t>
  </si>
  <si>
    <t>REDUCCIÓN</t>
  </si>
  <si>
    <t>Mínimo personal</t>
  </si>
  <si>
    <t>Rendimiento del trabajo</t>
  </si>
  <si>
    <t>SUELDO BRUTO</t>
  </si>
  <si>
    <t>Base IRPF</t>
  </si>
  <si>
    <t>DEDUCCIONES</t>
  </si>
  <si>
    <t>Cuota IRPF</t>
  </si>
  <si>
    <t>Cuota Final IRPF</t>
  </si>
  <si>
    <t>% de retención de IRPF</t>
  </si>
  <si>
    <t>Cumplimentar las casillas de fondo amarillo</t>
  </si>
  <si>
    <t>B</t>
  </si>
  <si>
    <t>C1</t>
  </si>
  <si>
    <t>C2</t>
  </si>
  <si>
    <t>E</t>
  </si>
  <si>
    <t>DESCENDIENTES, con rentas inferiores a 8.000€</t>
  </si>
  <si>
    <t>ASCENDIENTES, que convivan y con rentas inferiores a 8.000€</t>
  </si>
  <si>
    <t>3 o más hijos</t>
  </si>
  <si>
    <t xml:space="preserve">Número de contribuyentes que se aplican esta deducción </t>
  </si>
  <si>
    <t>Limite Máximo Anual</t>
  </si>
  <si>
    <t>Limite Máximo Mensual</t>
  </si>
  <si>
    <t>Grupo</t>
  </si>
  <si>
    <t>Porcentaje</t>
  </si>
  <si>
    <t>Texto Refundido de la Ley de Clases Pasivas del Estado (B.O.E. 27/5/1987)</t>
  </si>
  <si>
    <t>Real Decreto 691/1991, de 12 de abril, sobre cómputo recíproco de cuotas entre regímenes de Seguridad Social (B.O.E. 1/5/1991)</t>
  </si>
  <si>
    <t>Real Decreto 2072/1999, de 30 de noviembre, sobre transferencias recíprocas de derechos entre el sistema de previsión social del personal de las Comunidades Europeas y los regímenes públicos de previsión social españoles (B.O.E. 18/1/2000)</t>
  </si>
  <si>
    <t>Real Decreto 432/2000, de 31 de marzo, por el que se regula el cómputo en Clases Pasivas de los períodos reconocidos como cotizados a la Seguridad Social en favor de las sacerdotes y religiosos de la Iglesia Católica, secularizados (B.O.E. 8/4/2000)</t>
  </si>
  <si>
    <t>Título I del Real Decreto 710/2009, de 17 de abril, por el que se desarrollan las previsiones de la Ley 2/2008, de 23 de diciembre en materia de Pensiones de Clases Pasivas y de determinadas Indemnizaciones Sociales (B.O.E. 30/4/2009)</t>
  </si>
  <si>
    <t>Resolución de 18 de marzo de 2010, de la Dirección General de Costes de Personal y Pensiones Públicas, por la que se regula la gestión electrónica del impreso "J" de iniciación del procedimiento de reconocimiento de pensiones de jubilación de los Funciona</t>
  </si>
  <si>
    <t>NORMATIVAS</t>
  </si>
  <si>
    <t>Teléfono gratuito de información: 900 503055</t>
  </si>
  <si>
    <t>Sede electrónica</t>
  </si>
  <si>
    <t>Simulador de cálculo de pensiones</t>
  </si>
  <si>
    <t xml:space="preserve">e-mail: Clases.pasivas@sepg.minhap.es </t>
  </si>
  <si>
    <t xml:space="preserve">La jubilación forzosa por incapacidad permanente para el servicio lleva consigo el reconocimiento, como servicios prestados, del tiempo que falte al interesado hasta cumplir la edad de jubilación forzosa. </t>
  </si>
  <si>
    <t>Cuando el interesado acredite menos de veinte años de servicios y la incapacidad no le inhabilite para toda profesión u oficio, la cuantía de la pensión ordinaria se reducirán en un 5% por cada año completo de servicio que le falte hasta cumplir los 20 años de servicio, con un máximo del 25% para quienes acrediten 15 o menos años de servicios.</t>
  </si>
  <si>
    <t>Información previa a la jubilación.</t>
  </si>
  <si>
    <t>Mujer</t>
  </si>
  <si>
    <t>Jubilación Forzosa (65 años)</t>
  </si>
  <si>
    <t>Jubilación Anticipada (60 años y 30 años de Servicio)</t>
  </si>
  <si>
    <t>INFORMACIÓN</t>
  </si>
  <si>
    <t>Web Ministerio Hacienda y Función Pública</t>
  </si>
  <si>
    <t>Tiempo total cotizado a Seguridad Seguridad Social en Grupos: 07 y 09)</t>
  </si>
  <si>
    <t xml:space="preserve">Tiempo total cotizado a Seguridad Seguridad Social en Grupos: 01 y Autónomos licenciados e ingenieros </t>
  </si>
  <si>
    <t>Tiempo total cotizado a Seguridad Seguridad Social en Grupos: 02 y Autónomos Ingen. Técnicos y peritos</t>
  </si>
  <si>
    <t>Tiempo total cotizado a Seguridad Seguridad Social en Grupos: 06,10, 11, 12 y empleadas hogar</t>
  </si>
  <si>
    <t>Tiempo total cotizado a Seguridad Seguridad Social en Grupos: 03, 04 ,05 , 08 y Autónomos en general</t>
  </si>
  <si>
    <t>Total de servicio para la Administración Pública</t>
  </si>
  <si>
    <t>Total de Cotización distinto a Adminsitración Pública</t>
  </si>
  <si>
    <t>Días de Vacaciones no disfrutadas</t>
  </si>
  <si>
    <t>Último día en el centro</t>
  </si>
  <si>
    <t>Sexenios</t>
  </si>
  <si>
    <t>Seguridad Social y Cuota sindical</t>
  </si>
  <si>
    <t>Por ser pensionista</t>
  </si>
  <si>
    <t>Edad en fecha jubilación</t>
  </si>
  <si>
    <t>Tipo jubilación</t>
  </si>
  <si>
    <t>Fecha nacimiento</t>
  </si>
  <si>
    <t>Cuerpo docente</t>
  </si>
  <si>
    <t>Destino</t>
  </si>
  <si>
    <t>Grupo A2</t>
  </si>
  <si>
    <t>Grupo C1</t>
  </si>
  <si>
    <t>Grupo C2</t>
  </si>
  <si>
    <t>Grupo E</t>
  </si>
  <si>
    <t>Grupo B</t>
  </si>
  <si>
    <t>Grupo A1</t>
  </si>
  <si>
    <t>Fecha de datos</t>
  </si>
  <si>
    <t>Grupos:</t>
  </si>
  <si>
    <t xml:space="preserve">01 y Autónomos licenciados e ingenieros </t>
  </si>
  <si>
    <t>03, 04 ,05 , 08 y Autónomos en general</t>
  </si>
  <si>
    <t>06,10, 11, 12 y empleadas hogar</t>
  </si>
  <si>
    <t>02 y Autónomos Ingen. Técnicos y peritos</t>
  </si>
  <si>
    <t>07 y 09</t>
  </si>
  <si>
    <t>Número de hijos menores de 25 años o con discapacidad cualquiera que sea su edad</t>
  </si>
  <si>
    <t>DATOS NECESARIOS PARA CÁLCULO PENSIÓN</t>
  </si>
  <si>
    <t>Sexo</t>
  </si>
  <si>
    <t>Hombre</t>
  </si>
  <si>
    <t>Sólo los periodos no incluidos en Hoja de Servicio</t>
  </si>
  <si>
    <t>DATOS NECESARIOS PARA CÁLCULO SUELDO</t>
  </si>
  <si>
    <t>DATOS NECESARIOS PARA CÁLCULO % RETENCIÓN IRPF</t>
  </si>
  <si>
    <t>HOJA DE SERVICIO</t>
  </si>
  <si>
    <t>VIDA LABORAL</t>
  </si>
  <si>
    <t>Fecha 65 años</t>
  </si>
  <si>
    <t>HOJA DE SERVICIO. Servicios para la Administración Pública</t>
  </si>
  <si>
    <t>Tiempo trabajo fuera de la Administración Pública</t>
  </si>
  <si>
    <t>SITUACIONES QUE AUMENTAN EL PERIODO COTIZADO</t>
  </si>
  <si>
    <t>Fecha Jubilación</t>
  </si>
  <si>
    <t xml:space="preserve">Edad en fecha jubilación: </t>
  </si>
  <si>
    <t>Total tiempo cotizado</t>
  </si>
  <si>
    <t>Extra Sueldo Base</t>
  </si>
  <si>
    <t xml:space="preserve">Trienios </t>
  </si>
  <si>
    <t xml:space="preserve">Complem. Destino </t>
  </si>
  <si>
    <t>Complem. Específico</t>
  </si>
  <si>
    <t>Catedrático</t>
  </si>
  <si>
    <t>Extra Trienios</t>
  </si>
  <si>
    <t xml:space="preserve">Extra Complem. Destino </t>
  </si>
  <si>
    <t>Adicional Complem. Específico</t>
  </si>
  <si>
    <t>1 sexenio</t>
  </si>
  <si>
    <t>2 sexenios</t>
  </si>
  <si>
    <t>3 sexenios</t>
  </si>
  <si>
    <t>4 sexenios</t>
  </si>
  <si>
    <t>5 sexenios</t>
  </si>
  <si>
    <t>1 sexenio Extra</t>
  </si>
  <si>
    <t>2 sexenios Extra</t>
  </si>
  <si>
    <t>3 sexenios Extra</t>
  </si>
  <si>
    <t>4 sexenios Extra</t>
  </si>
  <si>
    <t>5 sexenios Extra</t>
  </si>
  <si>
    <t>Nº Trienios</t>
  </si>
  <si>
    <t>Nº Sexenios</t>
  </si>
  <si>
    <t>Años, meses, días</t>
  </si>
  <si>
    <t>Residencia</t>
  </si>
  <si>
    <t>Anual Bruto</t>
  </si>
  <si>
    <t>Mensual Bruto</t>
  </si>
  <si>
    <t>% IRPF</t>
  </si>
  <si>
    <t>días</t>
  </si>
  <si>
    <t>RETRIBUCIONES</t>
  </si>
  <si>
    <t>MÁXIMO</t>
  </si>
  <si>
    <t>Anual Neto</t>
  </si>
  <si>
    <t xml:space="preserve">Incapacidad:  </t>
  </si>
  <si>
    <t xml:space="preserve">Hijos antes comenzar a trabajar:  </t>
  </si>
  <si>
    <t xml:space="preserve">Servicio Militar :  </t>
  </si>
  <si>
    <t xml:space="preserve">     Diferencia Pensión - Sueldo</t>
  </si>
  <si>
    <t>Cotizado Administración pública</t>
  </si>
  <si>
    <t>Aumento por jubilación por incapacidad</t>
  </si>
  <si>
    <t xml:space="preserve">Hijos nacidos estando sin cotizar:   </t>
  </si>
  <si>
    <t>Servicio Militar, tiempo superior al obligatorio del momento en que se realizó</t>
  </si>
  <si>
    <t>Introducir los siguientes datos para poder realizar la estimación de la pensión comparándola con pensión máxima y con el sueldo</t>
  </si>
  <si>
    <t>Mes sin extra (Neto)</t>
  </si>
  <si>
    <t>Mes con extra (Neto)</t>
  </si>
  <si>
    <t>Estimación de la pensión comparándola con pensión máxima y con el sueldo</t>
  </si>
  <si>
    <t>Recuperar el Plan de Pensiones depositado en CASER</t>
  </si>
  <si>
    <t>Información</t>
  </si>
  <si>
    <t>Ir a Vida Laboral</t>
  </si>
  <si>
    <t>Fecha cumple 60 años</t>
  </si>
  <si>
    <t>Fecha cumple 65 años</t>
  </si>
  <si>
    <t xml:space="preserve">(para el cálculo, de estos tres datos, en la pestaña "Datos" la fecha de jubilación y la de la hoja de servicio debe ser la misma) </t>
  </si>
  <si>
    <t>INCREMENTO COTIZACIÓN por jubilación por incapacidad</t>
  </si>
  <si>
    <t>INCREMENTO COTIZACIÓN por diferencia entre fecha emisión certificado hoja servicio y fecha jubilación</t>
  </si>
  <si>
    <t>Total de trienios</t>
  </si>
  <si>
    <t xml:space="preserve">    Importe de la Pensión</t>
  </si>
  <si>
    <t xml:space="preserve">     Diferencia con pensión máxima</t>
  </si>
  <si>
    <t>Total incremento por diferencia entre fecha hoja servicio y fecha jubilación</t>
  </si>
  <si>
    <t>Total incremento por jubilación por incapacidad</t>
  </si>
  <si>
    <t>INCREMENTO COTIZACIÓN por hijos y por servicio militar</t>
  </si>
  <si>
    <t>Total incremento por hijos o por servicio militar</t>
  </si>
  <si>
    <t>TOTAL TIEMPO COTIZADO  A EFECTOS JUBILACIÓN</t>
  </si>
  <si>
    <t>Ver pestaña "Tiempos cotizados"</t>
  </si>
  <si>
    <t xml:space="preserve">Cotizaciones fuera educación. </t>
  </si>
  <si>
    <t>Total de hijos nacidos</t>
  </si>
  <si>
    <t>Haber Regulador Anual</t>
  </si>
  <si>
    <t>Haber Regulador Mensual</t>
  </si>
  <si>
    <t>Tiempo de trabajo TOTAL Efectivo</t>
  </si>
  <si>
    <t>Tiempo de Servio A1 más A2 más B más C1 más C2 más E</t>
  </si>
  <si>
    <t>Tiempo de Servio A1 más A2 más B más C1 más C2</t>
  </si>
  <si>
    <t>Tiempo de Servio A1 más A2 más B más C1</t>
  </si>
  <si>
    <t>Tiempo de Servio A1 más A2 más B</t>
  </si>
  <si>
    <t>Tiempo de Servio A1 más A2</t>
  </si>
  <si>
    <t>Tiempo de Servio A1</t>
  </si>
  <si>
    <t>TOTAL tiempo cotizado</t>
  </si>
  <si>
    <t>Límites máximo</t>
  </si>
  <si>
    <t>PENSIÓN BRUTA MENSUAL</t>
  </si>
  <si>
    <t>PENSIÓN BRUTA ANUAL</t>
  </si>
  <si>
    <t>Importe Bruto</t>
  </si>
  <si>
    <t>Pasar días a años meses y días</t>
  </si>
  <si>
    <t>Pasar años, meses y días a días</t>
  </si>
  <si>
    <t>An</t>
  </si>
  <si>
    <t>En la fecha de la jubilación</t>
  </si>
  <si>
    <t>Tiempo entre fecha hoja servicio y fecha jubilación</t>
  </si>
  <si>
    <t xml:space="preserve">Diferencias de fechas </t>
  </si>
  <si>
    <t xml:space="preserve">     Sueldo en fecha hoja de servicio</t>
  </si>
  <si>
    <t>Aumento cotizaciones</t>
  </si>
  <si>
    <t>Tiempo total cotizado</t>
  </si>
  <si>
    <t>Aumentos de cotizaciones</t>
  </si>
  <si>
    <t>Detalle de los aumentos de cotización:</t>
  </si>
  <si>
    <t>Número de trienios y sexenios en la fecha de la hoja de servicio</t>
  </si>
  <si>
    <t>Si existe servicio en el Grupo E, aparece el tiempo acumulado, en caso contrario aparece 0</t>
  </si>
  <si>
    <t>Seleccionar la opción que corresponda</t>
  </si>
  <si>
    <t>2 hijos</t>
  </si>
  <si>
    <t>3 hijos</t>
  </si>
  <si>
    <t>Falta para</t>
  </si>
  <si>
    <t>Nuevo trienio</t>
  </si>
  <si>
    <t>Nuevo sexenio</t>
  </si>
  <si>
    <t>30 años cotizados</t>
  </si>
  <si>
    <t>Cuerpo</t>
  </si>
  <si>
    <t>510-Inspección</t>
  </si>
  <si>
    <t>511-Catedráticos</t>
  </si>
  <si>
    <t>590-Profesores Enseñanza Secundaria</t>
  </si>
  <si>
    <t>592-Profesores de Escuelas Oficiales de Idiomas</t>
  </si>
  <si>
    <t>594-Profesores de Música y Artes Escénicas</t>
  </si>
  <si>
    <t>595-Profesores de Artes Plásticas y Diseño</t>
  </si>
  <si>
    <t>591-Profesores Técnicos de Formación Profesional</t>
  </si>
  <si>
    <t>596-Maestros de Taller de Artes Plásticas y Diseño</t>
  </si>
  <si>
    <t>597-Maestros</t>
  </si>
  <si>
    <t>Nivel</t>
  </si>
  <si>
    <t>Director/ra CEIP, CEP, CEEE, EEI, CEPA. Coordinador CER. Tipo A (Más de 35 Unidades)</t>
  </si>
  <si>
    <t>Director/ra CEIP, CEP, CEEE, EEI, CEPA. Coordinador CER. Tipo B (27 a 35 Unidades)</t>
  </si>
  <si>
    <t>Director/ra CEIP, CEP, CEEE, EEI, CEPA. Coordinador CER. Tipo C (18 a 26 Unidades)</t>
  </si>
  <si>
    <t>Director/ra CEIP, CEP, CEEE, EEI, CEPA. Coordinador CER. Tipo D (9 a 17 Unidades)</t>
  </si>
  <si>
    <t>Director/ra CEIP, CEP, CEEE, EEI, CEPA. Coordinador CER. Tipo E (6 a 8 Unidades)</t>
  </si>
  <si>
    <t>Director/ra CEIP, CEP, CEEE, EEI, CEPA. Coordinador CER. Tipo F (1 a 5 Unidades)</t>
  </si>
  <si>
    <t>J. Estudios. CEIP, CEP, CEEE, EEI, CEPA. Tipo A (Más de 35 Unidades)</t>
  </si>
  <si>
    <t>J. Estudios. CEIP, CEP, CEEE, EEI, CEPA. Tipo B (27 a 35 Unidades)</t>
  </si>
  <si>
    <t>J. Estudios. CEIP, CEP, CEEE, EEI, CEPA. Tipo C (18 a 26 Unidades)</t>
  </si>
  <si>
    <t>J. Estudios. CEIP, CEP, CEEE, EEI, CEPA. Tipo D (9 a 17 Unidades)</t>
  </si>
  <si>
    <t>Secretario/a. CEIP, CEP, CEEE, EEI, CEPA. Tipo A (Más de 35 Unidades)</t>
  </si>
  <si>
    <t>Secretario/a. CEIP, CEP, CEEE, EEI, CEPA. Tipo B (27 a 35 Unidades)</t>
  </si>
  <si>
    <t>Secretario/a. CEIP, CEP, CEEE, EEI, CEPA. Tipo C (18 a 26 Unidades)</t>
  </si>
  <si>
    <t>Secretario/a. CEIP, CEP, CEEE, EEI, CEPA. Tipo D (9 a 17 Unidades)</t>
  </si>
  <si>
    <t>Secretario/a. CEIP, CEP, CEEE, EEI, CEPA. Tipo E (6 a 8 Unidades)</t>
  </si>
  <si>
    <t>Vicedirector/ra. CEIP, CEP, CEEE, EEI Tipo A (Más de 35 Unidades)</t>
  </si>
  <si>
    <t>Vicedirector/ra. CEIP, CEP, CEEE, EEI Tipo B (27 a 35 Unidades)</t>
  </si>
  <si>
    <t>Vicedirector/ra. CEIP, CEP, CEEE, EEI Tipo C (18 a 26 Unidades)</t>
  </si>
  <si>
    <t>Residencia Isla Capitalina</t>
  </si>
  <si>
    <t>Residencia Isla No Capitalina</t>
  </si>
  <si>
    <t>Encargado/a Comedor Gestión Directa. Módulo Hasta 100 comensales.</t>
  </si>
  <si>
    <t>Encargado/a Comedor Gestión Directa. Módulo De 101 a 300 comensales.</t>
  </si>
  <si>
    <t>Encargado/a Comedor Gestión Directa. Módulo Más de 300 comensales.</t>
  </si>
  <si>
    <t>Encargado/a Comedor Gestión Contratada. Módulo Hasta 100 comensales.</t>
  </si>
  <si>
    <t>Encargado/a Comedor Gestión Contratada. Módulo De 101 a 300 comensales.</t>
  </si>
  <si>
    <t>Encargado/a Comedor Gestión Contratada. Módulo Más de 300 comensales.</t>
  </si>
  <si>
    <t>Director de Centros de Profesores</t>
  </si>
  <si>
    <t>Director de Residencia Escolar Permanente</t>
  </si>
  <si>
    <t>Director de Residencia Escolar</t>
  </si>
  <si>
    <t>Maestros de Ocio con Residencia Permanente</t>
  </si>
  <si>
    <t>Coordinador EOEP</t>
  </si>
  <si>
    <t>Coordinador de Servicios Centrales. Tipo A1 (A)</t>
  </si>
  <si>
    <t>Coordinador de Servicios Centrales. Tipo A2 (B)</t>
  </si>
  <si>
    <t>Hora Lectiva Complementaria, Refuerzo Educativo. Grupo A1</t>
  </si>
  <si>
    <t>Hora Lectiva Complementaria, Refuerzo Educativo. Grupo A2</t>
  </si>
  <si>
    <t>Maestros de Primero y Segundo de Enseñanza Secundaria Obligatoria</t>
  </si>
  <si>
    <t>Jefe de Departamento</t>
  </si>
  <si>
    <t>Tutoría</t>
  </si>
  <si>
    <t>Coordinación en convivencia</t>
  </si>
  <si>
    <t>Coordinación en prevención de riesgos laborales</t>
  </si>
  <si>
    <t>Coordinación en tecnologías de la información y la comunicación (TIC)</t>
  </si>
  <si>
    <t>Cuando la fecha de los datos de hoja de Servicio es distinta a la fecha de la jubilación la aplicación añade la diferencia para el cálculo</t>
  </si>
  <si>
    <t>En la fecha:</t>
  </si>
  <si>
    <t xml:space="preserve">Coordinador/a Formación en Centros de Trabajo </t>
  </si>
  <si>
    <t>Complemento Especial Responsabilidad:</t>
  </si>
  <si>
    <t>Otros complementos: Jefe departamento, Encargado comedor, Maestros en Residencia, otros</t>
  </si>
  <si>
    <t>Otros complementos: Tutoría, AICLE/PILE, Coordinación</t>
  </si>
  <si>
    <t>Impartición docencia en lengua extranjera. Maestros de Inglés sin B2, ni C1, ni C2</t>
  </si>
  <si>
    <t>Impartición docencia en lengua extranjera. Profesorado con B2</t>
  </si>
  <si>
    <t>Impartición docencia en lengua extranjera. Profesorado con C1 o C2</t>
  </si>
  <si>
    <t>Coordinación impartición docencia en lengua extranjera. Nivel B2</t>
  </si>
  <si>
    <t>Coordinación impartición docencia en lengua extranjera. Nivel C1 o C2</t>
  </si>
  <si>
    <t xml:space="preserve">Beneficio por cuidado de hijo (Introducir número de días del certificado) </t>
  </si>
  <si>
    <t xml:space="preserve">Por hijos nacidos estando sin cotizar en periodo entre 9 meses antes nacimiento y 6 años después del nacimiento: </t>
  </si>
  <si>
    <t>Por hijos nacidos antes de comenzar a trabajar (Introducir número de días del certificado)</t>
  </si>
  <si>
    <t>597-Maestros (1º y 2º ESO)</t>
  </si>
  <si>
    <t>Resolución de 11 de agosto de 2021, por la que se aprueban las instrucciones de organización y funcionamiento de los comedores escolares de los centros docentes públicos no universitarios para el curso escolar 2021-2022.</t>
  </si>
  <si>
    <t>Presupuesto 2022</t>
  </si>
  <si>
    <t>Isla Capitaina</t>
  </si>
  <si>
    <t>Comp Destino</t>
  </si>
  <si>
    <t>lma</t>
  </si>
  <si>
    <t>Comp Incentivo</t>
  </si>
  <si>
    <t>Valor Trienio</t>
  </si>
  <si>
    <t>7% sueldo</t>
  </si>
  <si>
    <t>Otros importes en hoja que tiene nómina</t>
  </si>
  <si>
    <t>Trienios B</t>
  </si>
  <si>
    <t>Trienios C1</t>
  </si>
  <si>
    <t>Trienios C2</t>
  </si>
  <si>
    <t>Trienios E</t>
  </si>
  <si>
    <t>Quinquenio</t>
  </si>
  <si>
    <t>Paga Extra Sueldo A1 - 26</t>
  </si>
  <si>
    <t>Paga Extra Sueldo A1 - 24</t>
  </si>
  <si>
    <t>Paga Extra Sueldo A2 - 24</t>
  </si>
  <si>
    <t>Paga Extra Sueldo A2 - 21</t>
  </si>
  <si>
    <t>Paga Extra Sueldo A2 - 21 ESO</t>
  </si>
  <si>
    <t>Paga Extra Complemento destino A1 - 26</t>
  </si>
  <si>
    <t>Paga Extra Complemento destino A1 - 24</t>
  </si>
  <si>
    <t>Paga Extra Complemento destino A2 - 24</t>
  </si>
  <si>
    <t>Paga Extra Complemento destino A2 - 21</t>
  </si>
  <si>
    <t>Paga Extra Complemento destino A2 - 21 ESO</t>
  </si>
  <si>
    <t>Paga Extra Complemento Específico A1 - 26</t>
  </si>
  <si>
    <t>Paga Extra Complemento Específico A1 - 24</t>
  </si>
  <si>
    <t>Paga Extra Complemento Específico A2 - 24</t>
  </si>
  <si>
    <t>Paga Extra Complemento Específico A2 - 21</t>
  </si>
  <si>
    <t>Paga Extra Complemento Específico A2 - 21 ESO</t>
  </si>
  <si>
    <t>Paga Extra Trienios A1 - 26</t>
  </si>
  <si>
    <t>Paga Extra Trienios A1 - 24</t>
  </si>
  <si>
    <t>Paga Extra Trienios A2 - 24</t>
  </si>
  <si>
    <t>Paga Extra Trienios A2 - 21</t>
  </si>
  <si>
    <t>Paga Extra Trienios A2 - 21 ESO</t>
  </si>
  <si>
    <t>Paga Extra Trienios C1</t>
  </si>
  <si>
    <t>Paga Extra Trienios C2</t>
  </si>
  <si>
    <t>Paga Extra Trienios E</t>
  </si>
  <si>
    <t>Indemnización Residencia</t>
  </si>
  <si>
    <t>Cuerpo Inspectores</t>
  </si>
  <si>
    <t>Inspect. Central Nivel 28</t>
  </si>
  <si>
    <t>Inspect. Jefe Territorial/Adjunto Nivel 28</t>
  </si>
  <si>
    <t>Inspect. Coord. Resp Prog. Esp. Nivel 26</t>
  </si>
  <si>
    <t>Inspector Nivel 26</t>
  </si>
  <si>
    <t>Gratificaciones por Servicios Extraordinarios (Hora A1)</t>
  </si>
  <si>
    <t>Gratificaciones por Servicios Extraordinarios (Hora A2)</t>
  </si>
  <si>
    <t>Director CSM</t>
  </si>
  <si>
    <t>Vicedirector CSM</t>
  </si>
  <si>
    <t>Jefe Estudios CSM</t>
  </si>
  <si>
    <t>Secretario Académico CSM</t>
  </si>
  <si>
    <t>Secretario Adjunto CSM</t>
  </si>
  <si>
    <t>Jef. Deparatemento CSM</t>
  </si>
  <si>
    <t>Coordinado Curso (CEI)</t>
  </si>
  <si>
    <t>Dtor. Eq. Zonal Tut Jóvenes</t>
  </si>
  <si>
    <t>Maternidades</t>
  </si>
  <si>
    <t>A1-24</t>
  </si>
  <si>
    <t>A2-24</t>
  </si>
  <si>
    <t>A2-21</t>
  </si>
  <si>
    <t>A2-21 1º ESO</t>
  </si>
  <si>
    <t>Salario mínimo</t>
  </si>
  <si>
    <t>IPREM</t>
  </si>
  <si>
    <t>Base Máxima CC</t>
  </si>
  <si>
    <t>Base Máxima diaria</t>
  </si>
  <si>
    <t>Base Mínima CP</t>
  </si>
  <si>
    <t>Personal laboral</t>
  </si>
  <si>
    <t>Grupo I</t>
  </si>
  <si>
    <t>Grupo II</t>
  </si>
  <si>
    <t>Lab. S Antonio</t>
  </si>
  <si>
    <t>Hermano Pedro</t>
  </si>
  <si>
    <t>% retención</t>
  </si>
  <si>
    <t>Ingreso Bruto Anual</t>
  </si>
  <si>
    <t>Ingreso Bruto Mensual</t>
  </si>
  <si>
    <t>Ingreso Neto Anual</t>
  </si>
  <si>
    <t>Ingreso Neto Mensual</t>
  </si>
  <si>
    <t>Ingreso Bruto Mensual Extra</t>
  </si>
  <si>
    <t>Ingreso Neto Mensual Extra</t>
  </si>
  <si>
    <t>Real Decreto 1058/2022, de 27 de diciembre, sobre revalorización de las pensiones del sistema de la Seguridad Social, de las pensiones de Clases Pasivas y de otras prestaciones sociales públicas para el ejercicio 2023</t>
  </si>
  <si>
    <t>Ley 31/2022, de 23 de diciembre, de Presupuestos Generales del Estado para el año 2023</t>
  </si>
  <si>
    <t>1 hijo</t>
  </si>
  <si>
    <t>No se ha incrementado desde 2021</t>
  </si>
  <si>
    <t>Director/ra IES, CEO, EA, CPM. Centro Tipo A (1650 o más Alumnos) EOI (+3000)</t>
  </si>
  <si>
    <t>Director/ra IES, CEO, EA, CPM. Centro Tipo B (de 901 a 1649 Alumnos) EOI (2000 a 2999)</t>
  </si>
  <si>
    <t>Director/ra IES, CEO, EA, CPM. Centro Tipo C (de 581 a 900 Alumnos) EOI (1000 a 1999)</t>
  </si>
  <si>
    <t>Director/ra IES, CEO, EA, CPM. Centro Tipo D (hasta 580 Alumnos) EOI (Hasta 999)</t>
  </si>
  <si>
    <t>Jefe Estudios IES, CEO, EA. Centro Tipo A (1650 o más Alumnos) EOI (+3000)</t>
  </si>
  <si>
    <t>Jefe Estudios IES, CEO, EA. Centro Tipo B (de 901 a 1649 Alumnos) EOI (2000 a 2999)</t>
  </si>
  <si>
    <t>Jefe Estudios IES, CEO, EA. Centro Tipo C (de 581 a 900 Alumnos) EOI (1000 a 1999)</t>
  </si>
  <si>
    <t>Jefe Estudios IES, CEO, EA. Centro Tipo D (hasta 580 Alumnos) EOI (Hasta 999)</t>
  </si>
  <si>
    <t>Secretario/a IES, CEO, EA. Centro Tipo A (1650 o más Alumnos) EOI (+3000)</t>
  </si>
  <si>
    <t>Secretario/a IES, CEO, EA. Centro Tipo B (de 901 a 1649 Alumnos) EOI (2000 a 2999)</t>
  </si>
  <si>
    <t>Secretario/a IES, CEO, EA. Centro Tipo C (de 581 a 900 Alumnos) EOI (1000 a 1999)</t>
  </si>
  <si>
    <t>Secretario/a IES, CEO, EA. Centro Tipo D (hasta 580 Alumnos) EOI (Hasta 999)</t>
  </si>
  <si>
    <t>Vicedirector/ra IES, CEO, EA. Centro Tipo A (1650 o más Alumnos) EOI (+3000)</t>
  </si>
  <si>
    <t>Vicedirector/ra IES, CEO, EA. Centro Tipo B (de 901 a 1649 Alumnos) EOI (2000 a 2999)</t>
  </si>
  <si>
    <t>Vicedirector/ra IES, CEO, EA. Centro Tipo C (de 581 a 900 Alumnos) EOI (1000 a 1999)</t>
  </si>
  <si>
    <t>Vicedirector/ra IES, CEO, EA. Centro Tipo D (hasta 580 Alumnos) EOI (Hasta 999)</t>
  </si>
  <si>
    <t>Jefe Estudios Adjunto IES, CEO, EA. Centro Tipo A (1650 o más Alumnos) EOI (+3000)</t>
  </si>
  <si>
    <t>Jefe Estudios Adjunto IES, CEO, EA. Centro Tipo B (de 901 a 1649 Alumnos) EOI (2000 a 2999)</t>
  </si>
  <si>
    <t>Jefe Estudios Adjunto IES, CEO, EA. Centro Tipo C (de 581 a 900 Alumnos) EOI (1000 a 1999)</t>
  </si>
  <si>
    <t>Jefe Estudios Adjunto IES, CEO, EA. Centro Tipo D (hasta 580 Alumnos) EOI (Hasta 999)</t>
  </si>
  <si>
    <t>Ya incluido en la tabla anterior</t>
  </si>
  <si>
    <t>Isla No capitalina</t>
  </si>
  <si>
    <t>Trienio Isla No capitalina</t>
  </si>
  <si>
    <t>Comp Especif</t>
  </si>
  <si>
    <t>lme</t>
  </si>
  <si>
    <t>Increm Paga Extra</t>
  </si>
  <si>
    <t>Paga adicional</t>
  </si>
  <si>
    <t>Compl Homol</t>
  </si>
  <si>
    <t>Paga Concert</t>
  </si>
  <si>
    <t>Comp Esp Responsab</t>
  </si>
  <si>
    <t>Director/a Conservatorio Superior de Música</t>
  </si>
  <si>
    <t>Vicedirector/a Conservatorio Superior de Música</t>
  </si>
  <si>
    <t>Jefe/a de estudios Conservatorio Superior de Música</t>
  </si>
  <si>
    <t>Secretaría académica Conservatorio Superior de Música</t>
  </si>
  <si>
    <t>Secretaría adjunta Conservatorio Superior de Música</t>
  </si>
  <si>
    <t>Jefe/a departamento Conservatorio Superior de Música</t>
  </si>
  <si>
    <t>Gratificaciones por servicios especiales A1. Valor hora</t>
  </si>
  <si>
    <t>Gratificaciones por servicios especiales A2. Valor hora</t>
  </si>
  <si>
    <t>Conservatorio 850 (40) Residencia</t>
  </si>
  <si>
    <t>Conservatorio 850 (40) Productiv.</t>
  </si>
  <si>
    <t>Conservatorio 850 (40) Complemento específico.</t>
  </si>
  <si>
    <t>Conservatorio 850 (40) Comp. Destino</t>
  </si>
  <si>
    <t>Conservatorio 850 (40) Nivel C. Destino.</t>
  </si>
  <si>
    <t>Conservatorio 851 (41 LP) Residencia</t>
  </si>
  <si>
    <t>Conservatorio 851 (41 LP) Productiv.</t>
  </si>
  <si>
    <t>Conservatorio 851 (41 LP) Complemento específico.</t>
  </si>
  <si>
    <t>Conservatorio 851 (41 LP) Comp. Destino</t>
  </si>
  <si>
    <t>Conservatorio 851 (41 LP) Nivel C. Destino.</t>
  </si>
  <si>
    <t>((+T5+T9+T11+(T7*T29)+(SI(T30=1;T13;SI(T30=2;T15;SI(T30=3;T17;SI(T30=4;T19;SI(T30&gt;4;T21;0)))))))*12)+((T6+T10+T12+(T8*T29)+(SI(T30=1;T13*0,78;SI(T30=2;T15*0,78;SI(T30=3;T17*0,78;SI(T30=4;T19*0,78;SI(T30&gt;4;T21*0,78;0)))))))*2)+(SI(T31="Isla No Capitalina";(T24+(T25*T29))*12;T23*12))</t>
  </si>
  <si>
    <t>Brecha de género</t>
  </si>
  <si>
    <t>Mujeres Incremento de pensión en jubilación forzosa o incapacidad con 1 o más hijos</t>
  </si>
  <si>
    <t>HABER REGULADO PENSIONES 2024 (Provisional)</t>
  </si>
  <si>
    <r>
      <t>Los funcionarios del grupo A1 con 33 o más años de servicio</t>
    </r>
    <r>
      <rPr>
        <sz val="11"/>
        <color rgb="FF2E363F"/>
        <rFont val="Arial"/>
        <family val="2"/>
      </rPr>
      <t> superan el límite máximo de las Pensiones Públicas, por lo que cobran este límite y no la pensión que les correspondería aplicando al haber regulador el porcentaje por tiempo de servicio. Lo mismo ocurre con los que cobren otra pensión</t>
    </r>
  </si>
  <si>
    <r>
      <t>Los funcionarios del grupo A1 con 32 años de servicio</t>
    </r>
    <r>
      <rPr>
        <sz val="11"/>
        <color rgb="FF2E363F"/>
        <rFont val="Arial"/>
        <family val="2"/>
      </rPr>
      <t xml:space="preserve"> cobran 44.443,48, es decir solo le faltan 7,08 euros para cobrar la pensión máxima, que en 14 pagas son </t>
    </r>
    <r>
      <rPr>
        <b/>
        <sz val="11"/>
        <color rgb="FF2E363F"/>
        <rFont val="Arial"/>
        <family val="2"/>
      </rPr>
      <t>0,505 euros mensual</t>
    </r>
  </si>
  <si>
    <t>De conformidad con lo dispuesto en el artículo 78 del Real Decreto-ley 8/2023, de 27 de diciembre, por el que se adoptan medidas para afrontar las consecuencias económicas y sociales derivadas de los conflictos en Ucrania y Oriente Próximo, así como para paliar los efectos de la sequía, que regula la revalorización provisional de las pensiones, hasta que se apruebe la Ley de Presupuestos Generales del Estado, los haberes reguladores experimentarán en 2024, con carácter general, un incremento porcentual del 3,8 %.</t>
  </si>
  <si>
    <t>Los importes de los haberes reguladores previstos para 2024, hasta su publicación oficial son los especificados en la anteriro tabla, que podría sufrir alguna modificación con dicha publicación.</t>
  </si>
  <si>
    <t>artículo 78 del Real Decreto-ley 8/2023, de 27 de diciembre,</t>
  </si>
  <si>
    <t>Estimación de la Pensión de Jubilación 2024</t>
  </si>
  <si>
    <t>Aplicación realizada por DoCan</t>
  </si>
  <si>
    <t>año</t>
  </si>
  <si>
    <t>mes</t>
  </si>
  <si>
    <r>
      <t xml:space="preserve">Aplicación realizada por </t>
    </r>
    <r>
      <rPr>
        <b/>
        <u/>
        <sz val="14"/>
        <color rgb="FFFF0000"/>
        <rFont val="Arial"/>
        <family val="2"/>
      </rPr>
      <t>DoCan</t>
    </r>
  </si>
  <si>
    <t>Cálculo de los tiempos cotizados para la Pensión de Jubilación 2024</t>
  </si>
  <si>
    <t>RETRIBUCIONES 2024. Desde octubre 2023. Pendiente de aprobarse las retribuciones del 2024</t>
  </si>
  <si>
    <t>Cálculo de la Pensión de Jubilación 2024</t>
  </si>
  <si>
    <t>IMPORTE PENSIÓN 2024</t>
  </si>
  <si>
    <t>Retribuciones básicas</t>
  </si>
  <si>
    <t>1 hijos</t>
  </si>
  <si>
    <t>4 hijos o más</t>
  </si>
  <si>
    <t>Datos para la Brecha de género</t>
  </si>
  <si>
    <t xml:space="preserve">Días para 30 años   </t>
  </si>
  <si>
    <t xml:space="preserve">Días para 35 años   </t>
  </si>
  <si>
    <t>SI(M8=0;CONCATENAR(M20;":    ";#¡REF!);CONCATENAR(M21;":    ";#¡REF!))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</si>
</sst>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00_ ;[Red]\-#,##0.00\ "/>
    <numFmt numFmtId="165" formatCode="#,##0.00\ &quot;€&quot;"/>
    <numFmt numFmtId="166" formatCode="#,##0.0"/>
    <numFmt numFmtId="167" formatCode="0.0%"/>
    <numFmt numFmtId="168" formatCode="#,##0.000"/>
  </numFmts>
  <fonts count="51" x14ac:knownFonts="1">
    <font>
      <sz val="10"/>
      <name val="Arial"/>
    </font>
    <font>
      <sz val="10"/>
      <name val="Arial"/>
      <family val="2"/>
    </font>
    <font>
      <b/>
      <sz val="12"/>
      <name val="Arial"/>
      <family val="2"/>
    </font>
    <font>
      <b/>
      <sz val="10"/>
      <name val="Arial"/>
      <family val="2"/>
    </font>
    <font>
      <sz val="10"/>
      <name val="Arial"/>
      <family val="2"/>
    </font>
    <font>
      <sz val="8"/>
      <name val="Arial"/>
      <family val="2"/>
    </font>
    <font>
      <b/>
      <sz val="8"/>
      <name val="Arial"/>
      <family val="2"/>
    </font>
    <font>
      <b/>
      <sz val="14"/>
      <name val="Arial"/>
      <family val="2"/>
    </font>
    <font>
      <sz val="12"/>
      <name val="Arial"/>
      <family val="2"/>
    </font>
    <font>
      <u/>
      <sz val="10"/>
      <color indexed="12"/>
      <name val="Arial"/>
      <family val="2"/>
    </font>
    <font>
      <b/>
      <u/>
      <sz val="10"/>
      <name val="Arial"/>
      <family val="2"/>
    </font>
    <font>
      <b/>
      <sz val="13.5"/>
      <name val="Arial"/>
      <family val="2"/>
    </font>
    <font>
      <b/>
      <i/>
      <sz val="10"/>
      <name val="Arial"/>
      <family val="2"/>
    </font>
    <font>
      <b/>
      <sz val="10"/>
      <color rgb="FF333333"/>
      <name val="Verdana"/>
      <family val="2"/>
    </font>
    <font>
      <sz val="10"/>
      <color rgb="FF000000"/>
      <name val="Calibri"/>
      <family val="2"/>
    </font>
    <font>
      <b/>
      <sz val="10"/>
      <color rgb="FF404040"/>
      <name val="Arial"/>
      <family val="2"/>
    </font>
    <font>
      <b/>
      <sz val="14"/>
      <color theme="9" tint="-0.499984740745262"/>
      <name val="Arial"/>
      <family val="2"/>
    </font>
    <font>
      <b/>
      <sz val="12"/>
      <color theme="1"/>
      <name val="Arial"/>
      <family val="2"/>
    </font>
    <font>
      <u/>
      <sz val="10"/>
      <color rgb="FF0000FF"/>
      <name val="Arial"/>
      <family val="2"/>
    </font>
    <font>
      <b/>
      <sz val="11"/>
      <name val="Arial"/>
      <family val="2"/>
    </font>
    <font>
      <b/>
      <sz val="10"/>
      <color theme="1"/>
      <name val="Arial"/>
      <family val="2"/>
    </font>
    <font>
      <b/>
      <sz val="11"/>
      <color theme="1"/>
      <name val="Arial"/>
      <family val="2"/>
    </font>
    <font>
      <i/>
      <sz val="10"/>
      <name val="Arial"/>
      <family val="2"/>
    </font>
    <font>
      <sz val="10"/>
      <color indexed="12"/>
      <name val="Arial"/>
      <family val="2"/>
    </font>
    <font>
      <b/>
      <sz val="10"/>
      <color indexed="48"/>
      <name val="Arial"/>
      <family val="2"/>
    </font>
    <font>
      <sz val="11"/>
      <name val="Arial"/>
      <family val="2"/>
    </font>
    <font>
      <b/>
      <sz val="14"/>
      <color rgb="FFFF0000"/>
      <name val="Arial"/>
      <family val="2"/>
    </font>
    <font>
      <b/>
      <sz val="12"/>
      <color theme="1" tint="0.249977111117893"/>
      <name val="Arial"/>
      <family val="2"/>
    </font>
    <font>
      <sz val="10"/>
      <color rgb="FF000000"/>
      <name val="Arial"/>
      <family val="2"/>
    </font>
    <font>
      <b/>
      <sz val="9"/>
      <color rgb="FF000000"/>
      <name val="Calibri"/>
      <family val="2"/>
    </font>
    <font>
      <sz val="8"/>
      <name val="Verdana"/>
      <family val="2"/>
    </font>
    <font>
      <b/>
      <sz val="10"/>
      <color rgb="FF000000"/>
      <name val="Calibri"/>
      <family val="2"/>
    </font>
    <font>
      <b/>
      <sz val="10"/>
      <color rgb="FFFF0000"/>
      <name val="Arial"/>
      <family val="2"/>
    </font>
    <font>
      <b/>
      <u/>
      <sz val="10"/>
      <color indexed="12"/>
      <name val="Arial"/>
      <family val="2"/>
    </font>
    <font>
      <b/>
      <u/>
      <sz val="10"/>
      <color rgb="FF0000FF"/>
      <name val="Arial"/>
      <family val="2"/>
    </font>
    <font>
      <b/>
      <sz val="12"/>
      <color theme="0"/>
      <name val="Arial"/>
      <family val="2"/>
    </font>
    <font>
      <sz val="10"/>
      <color rgb="FFFF0000"/>
      <name val="Arial"/>
      <family val="2"/>
    </font>
    <font>
      <b/>
      <sz val="12"/>
      <color rgb="FFFF0000"/>
      <name val="Arial"/>
      <family val="2"/>
    </font>
    <font>
      <sz val="12"/>
      <color rgb="FFFF0000"/>
      <name val="Arial"/>
      <family val="2"/>
    </font>
    <font>
      <sz val="10"/>
      <color theme="1"/>
      <name val="Arial"/>
      <family val="2"/>
    </font>
    <font>
      <b/>
      <sz val="11"/>
      <color theme="1"/>
      <name val="Calibri"/>
      <family val="2"/>
      <scheme val="minor"/>
    </font>
    <font>
      <sz val="8"/>
      <color theme="1"/>
      <name val="Calibri"/>
      <family val="2"/>
      <scheme val="minor"/>
    </font>
    <font>
      <sz val="11"/>
      <color rgb="FF000000"/>
      <name val="Calibri"/>
      <family val="2"/>
      <scheme val="minor"/>
    </font>
    <font>
      <sz val="14"/>
      <name val="Arial"/>
      <family val="2"/>
    </font>
    <font>
      <b/>
      <sz val="14"/>
      <color theme="1"/>
      <name val="Arial"/>
      <family val="2"/>
    </font>
    <font>
      <b/>
      <sz val="14"/>
      <color theme="1"/>
      <name val="Calibri"/>
      <family val="2"/>
      <scheme val="minor"/>
    </font>
    <font>
      <b/>
      <sz val="11"/>
      <color rgb="FF2E363F"/>
      <name val="Arial"/>
      <family val="2"/>
    </font>
    <font>
      <sz val="11"/>
      <color rgb="FF2E363F"/>
      <name val="Arial"/>
      <family val="2"/>
    </font>
    <font>
      <u/>
      <sz val="11"/>
      <color indexed="12"/>
      <name val="Arial"/>
      <family val="2"/>
    </font>
    <font>
      <b/>
      <u/>
      <sz val="14"/>
      <color rgb="FFFF0000"/>
      <name val="Arial"/>
      <family val="2"/>
    </font>
    <font>
      <sz val="8"/>
      <name val="Arial"/>
    </font>
  </fonts>
  <fills count="5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CC9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indexed="43"/>
        <bgColor indexed="64"/>
      </patternFill>
    </fill>
    <fill>
      <patternFill patternType="solid">
        <fgColor rgb="FFEBF2DE"/>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rgb="FFF8B074"/>
        <bgColor indexed="64"/>
      </patternFill>
    </fill>
    <fill>
      <patternFill patternType="solid">
        <fgColor rgb="FFDDD9C3"/>
        <bgColor indexed="64"/>
      </patternFill>
    </fill>
    <fill>
      <patternFill patternType="solid">
        <fgColor rgb="FFC5D9F1"/>
        <bgColor indexed="64"/>
      </patternFill>
    </fill>
    <fill>
      <patternFill patternType="solid">
        <fgColor rgb="FFDBE5F1"/>
        <bgColor indexed="64"/>
      </patternFill>
    </fill>
    <fill>
      <patternFill patternType="solid">
        <fgColor rgb="FFF2DDDC"/>
        <bgColor indexed="64"/>
      </patternFill>
    </fill>
    <fill>
      <patternFill patternType="solid">
        <fgColor rgb="FFEAF1DD"/>
        <bgColor indexed="64"/>
      </patternFill>
    </fill>
    <fill>
      <patternFill patternType="solid">
        <fgColor rgb="FFE5E0EC"/>
        <bgColor indexed="64"/>
      </patternFill>
    </fill>
    <fill>
      <patternFill patternType="solid">
        <fgColor rgb="FFFDE9D9"/>
        <bgColor indexed="64"/>
      </patternFill>
    </fill>
    <fill>
      <patternFill patternType="solid">
        <fgColor rgb="FFD0CECE"/>
        <bgColor indexed="64"/>
      </patternFill>
    </fill>
    <fill>
      <patternFill patternType="solid">
        <fgColor rgb="FFD8D8D8"/>
        <bgColor indexed="64"/>
      </patternFill>
    </fill>
    <fill>
      <patternFill patternType="solid">
        <fgColor theme="7" tint="0.79998168889431442"/>
        <bgColor indexed="64"/>
      </patternFill>
    </fill>
    <fill>
      <patternFill patternType="solid">
        <fgColor rgb="FFABDB77"/>
        <bgColor indexed="64"/>
      </patternFill>
    </fill>
    <fill>
      <patternFill patternType="solid">
        <fgColor rgb="FFFF0000"/>
        <bgColor indexed="64"/>
      </patternFill>
    </fill>
    <fill>
      <patternFill patternType="solid">
        <fgColor rgb="FFFFFFCC"/>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indexed="5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7030A0"/>
        <bgColor indexed="64"/>
      </patternFill>
    </fill>
    <fill>
      <patternFill patternType="solid">
        <fgColor rgb="FF4BD0FF"/>
        <bgColor indexed="64"/>
      </patternFill>
    </fill>
    <fill>
      <patternFill patternType="solid">
        <fgColor rgb="FF92D050"/>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rgb="FFCCCCCC"/>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527">
    <xf numFmtId="0" fontId="0" fillId="0" borderId="0" xfId="0"/>
    <xf numFmtId="0" fontId="0" fillId="0" borderId="0" xfId="0" applyProtection="1">
      <protection hidden="1"/>
    </xf>
    <xf numFmtId="0" fontId="5" fillId="2" borderId="0" xfId="0" applyFont="1" applyFill="1" applyProtection="1">
      <protection hidden="1"/>
    </xf>
    <xf numFmtId="0" fontId="5" fillId="0" borderId="0" xfId="0" applyFont="1" applyProtection="1">
      <protection hidden="1"/>
    </xf>
    <xf numFmtId="10" fontId="0" fillId="0" borderId="2" xfId="0" applyNumberFormat="1" applyBorder="1" applyAlignment="1" applyProtection="1">
      <alignment horizontal="center" wrapText="1"/>
      <protection hidden="1"/>
    </xf>
    <xf numFmtId="4" fontId="0" fillId="0" borderId="2" xfId="0" applyNumberFormat="1" applyBorder="1" applyProtection="1">
      <protection hidden="1"/>
    </xf>
    <xf numFmtId="4" fontId="0" fillId="0" borderId="0" xfId="0" applyNumberFormat="1" applyProtection="1">
      <protection hidden="1"/>
    </xf>
    <xf numFmtId="0" fontId="0" fillId="0" borderId="5" xfId="0" applyBorder="1" applyProtection="1">
      <protection hidden="1"/>
    </xf>
    <xf numFmtId="0" fontId="0" fillId="0" borderId="2" xfId="0" applyBorder="1" applyProtection="1">
      <protection hidden="1"/>
    </xf>
    <xf numFmtId="0" fontId="4" fillId="3" borderId="2" xfId="0" applyFont="1" applyFill="1" applyBorder="1" applyAlignment="1" applyProtection="1">
      <alignment vertical="center" wrapText="1"/>
      <protection hidden="1"/>
    </xf>
    <xf numFmtId="10" fontId="0" fillId="0" borderId="0" xfId="2" applyNumberFormat="1" applyFont="1" applyProtection="1">
      <protection hidden="1"/>
    </xf>
    <xf numFmtId="0" fontId="13" fillId="0" borderId="6" xfId="0" applyFont="1" applyBorder="1" applyAlignment="1" applyProtection="1">
      <alignment horizontal="center" wrapText="1"/>
      <protection hidden="1"/>
    </xf>
    <xf numFmtId="3" fontId="0" fillId="15" borderId="2" xfId="0" applyNumberFormat="1" applyFill="1" applyBorder="1" applyAlignment="1" applyProtection="1">
      <alignment horizontal="center"/>
      <protection locked="0"/>
    </xf>
    <xf numFmtId="2" fontId="0" fillId="0" borderId="0" xfId="0" applyNumberFormat="1" applyProtection="1">
      <protection hidden="1"/>
    </xf>
    <xf numFmtId="2" fontId="0" fillId="11" borderId="0" xfId="0" applyNumberFormat="1" applyFill="1" applyProtection="1">
      <protection hidden="1"/>
    </xf>
    <xf numFmtId="0" fontId="0" fillId="11" borderId="0" xfId="0" applyFill="1" applyProtection="1">
      <protection hidden="1"/>
    </xf>
    <xf numFmtId="4" fontId="0" fillId="11" borderId="0" xfId="0" applyNumberFormat="1" applyFill="1" applyProtection="1">
      <protection hidden="1"/>
    </xf>
    <xf numFmtId="4" fontId="0" fillId="16" borderId="2" xfId="0" applyNumberFormat="1" applyFill="1" applyBorder="1" applyProtection="1">
      <protection hidden="1"/>
    </xf>
    <xf numFmtId="4" fontId="0" fillId="11" borderId="2" xfId="0" applyNumberFormat="1" applyFill="1" applyBorder="1" applyProtection="1">
      <protection hidden="1"/>
    </xf>
    <xf numFmtId="0" fontId="4" fillId="14" borderId="2" xfId="0" applyFont="1" applyFill="1" applyBorder="1" applyAlignment="1" applyProtection="1">
      <alignment vertical="center" wrapText="1"/>
      <protection hidden="1"/>
    </xf>
    <xf numFmtId="0" fontId="9" fillId="0" borderId="0" xfId="1" applyAlignment="1" applyProtection="1"/>
    <xf numFmtId="0" fontId="15" fillId="0" borderId="0" xfId="0" applyFont="1" applyAlignment="1">
      <alignment horizontal="left" vertical="center"/>
    </xf>
    <xf numFmtId="0" fontId="9" fillId="0" borderId="0" xfId="1" applyAlignment="1" applyProtection="1">
      <alignment horizontal="left" vertical="center"/>
    </xf>
    <xf numFmtId="0" fontId="0" fillId="0" borderId="0" xfId="0" applyAlignment="1">
      <alignment horizontal="center"/>
    </xf>
    <xf numFmtId="0" fontId="10" fillId="0" borderId="0" xfId="0" applyFont="1"/>
    <xf numFmtId="4" fontId="0" fillId="18" borderId="2" xfId="0" applyNumberFormat="1" applyFill="1" applyBorder="1" applyProtection="1">
      <protection hidden="1"/>
    </xf>
    <xf numFmtId="4" fontId="0" fillId="19" borderId="2" xfId="0" applyNumberFormat="1" applyFill="1" applyBorder="1" applyProtection="1">
      <protection hidden="1"/>
    </xf>
    <xf numFmtId="4" fontId="0" fillId="7" borderId="2" xfId="0" applyNumberFormat="1" applyFill="1" applyBorder="1" applyProtection="1">
      <protection hidden="1"/>
    </xf>
    <xf numFmtId="4" fontId="0" fillId="5" borderId="2" xfId="0" applyNumberFormat="1" applyFill="1" applyBorder="1" applyProtection="1">
      <protection hidden="1"/>
    </xf>
    <xf numFmtId="4" fontId="0" fillId="20" borderId="2" xfId="0" applyNumberFormat="1" applyFill="1" applyBorder="1" applyProtection="1">
      <protection hidden="1"/>
    </xf>
    <xf numFmtId="4" fontId="0" fillId="17" borderId="2" xfId="0" applyNumberFormat="1" applyFill="1" applyBorder="1" applyProtection="1">
      <protection hidden="1"/>
    </xf>
    <xf numFmtId="10" fontId="0" fillId="0" borderId="2" xfId="0" applyNumberFormat="1" applyBorder="1" applyAlignment="1" applyProtection="1">
      <alignment horizontal="center"/>
      <protection hidden="1"/>
    </xf>
    <xf numFmtId="0" fontId="18" fillId="0" borderId="0" xfId="1" applyFont="1" applyAlignment="1" applyProtection="1"/>
    <xf numFmtId="0" fontId="1" fillId="3" borderId="2" xfId="0" applyFont="1" applyFill="1" applyBorder="1" applyAlignment="1" applyProtection="1">
      <alignment vertical="center" wrapText="1"/>
      <protection hidden="1"/>
    </xf>
    <xf numFmtId="0" fontId="1" fillId="14" borderId="2" xfId="0" applyFont="1" applyFill="1" applyBorder="1" applyAlignment="1" applyProtection="1">
      <alignment vertical="center" wrapText="1"/>
      <protection hidden="1"/>
    </xf>
    <xf numFmtId="0" fontId="6" fillId="3" borderId="2" xfId="0" applyFont="1" applyFill="1" applyBorder="1" applyAlignment="1" applyProtection="1">
      <alignment horizontal="center" vertical="center"/>
      <protection hidden="1"/>
    </xf>
    <xf numFmtId="0" fontId="5" fillId="11" borderId="0" xfId="0" applyFont="1" applyFill="1" applyProtection="1">
      <protection hidden="1"/>
    </xf>
    <xf numFmtId="3" fontId="6" fillId="10" borderId="2" xfId="0" applyNumberFormat="1" applyFont="1" applyFill="1" applyBorder="1" applyAlignment="1" applyProtection="1">
      <alignment horizontal="center"/>
      <protection hidden="1"/>
    </xf>
    <xf numFmtId="0" fontId="2" fillId="3" borderId="2" xfId="0" applyFont="1" applyFill="1" applyBorder="1" applyAlignment="1" applyProtection="1">
      <alignment horizontal="center" vertical="center" wrapText="1"/>
      <protection hidden="1"/>
    </xf>
    <xf numFmtId="3" fontId="3" fillId="10" borderId="2" xfId="0" applyNumberFormat="1" applyFont="1" applyFill="1" applyBorder="1" applyAlignment="1" applyProtection="1">
      <alignment horizontal="center" vertical="center"/>
      <protection hidden="1"/>
    </xf>
    <xf numFmtId="0" fontId="0" fillId="10" borderId="0" xfId="0" applyFill="1" applyProtection="1">
      <protection hidden="1"/>
    </xf>
    <xf numFmtId="0" fontId="1" fillId="0" borderId="0" xfId="0" applyFont="1" applyProtection="1">
      <protection hidden="1"/>
    </xf>
    <xf numFmtId="0" fontId="0" fillId="10" borderId="0" xfId="0" applyFill="1" applyAlignment="1" applyProtection="1">
      <alignment horizontal="center"/>
      <protection hidden="1"/>
    </xf>
    <xf numFmtId="0" fontId="1" fillId="11" borderId="0" xfId="0" applyFont="1" applyFill="1" applyProtection="1">
      <protection hidden="1"/>
    </xf>
    <xf numFmtId="0" fontId="0" fillId="11" borderId="0" xfId="0" applyFill="1" applyAlignment="1" applyProtection="1">
      <alignment horizontal="center"/>
      <protection hidden="1"/>
    </xf>
    <xf numFmtId="0" fontId="0" fillId="11" borderId="2" xfId="0" applyFill="1" applyBorder="1" applyAlignment="1" applyProtection="1">
      <alignment horizontal="center"/>
      <protection locked="0"/>
    </xf>
    <xf numFmtId="0" fontId="1" fillId="14" borderId="2" xfId="0" applyFont="1" applyFill="1" applyBorder="1" applyAlignment="1" applyProtection="1">
      <alignment horizontal="center"/>
      <protection hidden="1"/>
    </xf>
    <xf numFmtId="0" fontId="1" fillId="0" borderId="6" xfId="0" applyFont="1" applyBorder="1" applyAlignment="1" applyProtection="1">
      <alignment vertical="center" wrapText="1"/>
      <protection hidden="1"/>
    </xf>
    <xf numFmtId="0" fontId="1" fillId="0" borderId="2" xfId="0" applyFont="1" applyBorder="1" applyProtection="1">
      <protection hidden="1"/>
    </xf>
    <xf numFmtId="4" fontId="0" fillId="6" borderId="2" xfId="0" applyNumberFormat="1" applyFill="1" applyBorder="1" applyProtection="1">
      <protection hidden="1"/>
    </xf>
    <xf numFmtId="3" fontId="1" fillId="15" borderId="2" xfId="0" applyNumberFormat="1" applyFont="1" applyFill="1" applyBorder="1" applyAlignment="1" applyProtection="1">
      <alignment horizontal="center"/>
      <protection locked="0"/>
    </xf>
    <xf numFmtId="165" fontId="0" fillId="0" borderId="0" xfId="0" applyNumberFormat="1"/>
    <xf numFmtId="165" fontId="12" fillId="22" borderId="12" xfId="0" applyNumberFormat="1" applyFont="1" applyFill="1" applyBorder="1" applyAlignment="1">
      <alignment horizontal="center"/>
    </xf>
    <xf numFmtId="165" fontId="12" fillId="22" borderId="19" xfId="0" applyNumberFormat="1" applyFont="1" applyFill="1" applyBorder="1" applyAlignment="1">
      <alignment horizontal="center"/>
    </xf>
    <xf numFmtId="0" fontId="12" fillId="22" borderId="14" xfId="0" applyFont="1" applyFill="1" applyBorder="1" applyAlignment="1">
      <alignment horizontal="center"/>
    </xf>
    <xf numFmtId="0" fontId="1" fillId="0" borderId="2" xfId="0" applyFont="1" applyBorder="1" applyAlignment="1" applyProtection="1">
      <alignment vertical="center" wrapText="1"/>
      <protection hidden="1"/>
    </xf>
    <xf numFmtId="165" fontId="1" fillId="0" borderId="11" xfId="0" applyNumberFormat="1" applyFont="1" applyBorder="1"/>
    <xf numFmtId="165" fontId="1" fillId="0" borderId="3" xfId="0" applyNumberFormat="1" applyFont="1" applyBorder="1"/>
    <xf numFmtId="10" fontId="1" fillId="0" borderId="4" xfId="0" applyNumberFormat="1" applyFont="1" applyBorder="1"/>
    <xf numFmtId="165" fontId="1" fillId="0" borderId="1" xfId="0" applyNumberFormat="1" applyFont="1" applyBorder="1"/>
    <xf numFmtId="165" fontId="1" fillId="0" borderId="2" xfId="0" applyNumberFormat="1" applyFont="1" applyBorder="1"/>
    <xf numFmtId="10" fontId="1" fillId="0" borderId="13" xfId="0" applyNumberFormat="1" applyFont="1" applyBorder="1"/>
    <xf numFmtId="165" fontId="1" fillId="0" borderId="12" xfId="0" applyNumberFormat="1" applyFont="1" applyBorder="1"/>
    <xf numFmtId="165" fontId="1" fillId="0" borderId="19" xfId="0" applyNumberFormat="1" applyFont="1" applyBorder="1"/>
    <xf numFmtId="10" fontId="1" fillId="0" borderId="14" xfId="0" applyNumberFormat="1" applyFont="1" applyBorder="1"/>
    <xf numFmtId="165" fontId="0" fillId="0" borderId="11" xfId="0" applyNumberFormat="1" applyBorder="1"/>
    <xf numFmtId="165" fontId="0" fillId="0" borderId="4" xfId="0" applyNumberFormat="1" applyBorder="1"/>
    <xf numFmtId="165" fontId="0" fillId="0" borderId="1" xfId="0" applyNumberFormat="1" applyBorder="1"/>
    <xf numFmtId="165" fontId="0" fillId="0" borderId="13" xfId="0" applyNumberFormat="1" applyBorder="1"/>
    <xf numFmtId="0" fontId="1" fillId="0" borderId="6" xfId="0" applyFont="1" applyBorder="1" applyProtection="1">
      <protection hidden="1"/>
    </xf>
    <xf numFmtId="10" fontId="0" fillId="0" borderId="0" xfId="0" applyNumberFormat="1"/>
    <xf numFmtId="165" fontId="3" fillId="3" borderId="12" xfId="0" applyNumberFormat="1" applyFont="1" applyFill="1" applyBorder="1"/>
    <xf numFmtId="165" fontId="0" fillId="0" borderId="14" xfId="0" applyNumberFormat="1" applyBorder="1"/>
    <xf numFmtId="10" fontId="23" fillId="0" borderId="0" xfId="0" applyNumberFormat="1" applyFont="1" applyAlignment="1">
      <alignment horizontal="center"/>
    </xf>
    <xf numFmtId="10" fontId="3" fillId="6" borderId="2" xfId="2" applyNumberFormat="1" applyFont="1" applyFill="1" applyBorder="1" applyAlignment="1" applyProtection="1">
      <alignment horizontal="center"/>
      <protection hidden="1"/>
    </xf>
    <xf numFmtId="10" fontId="12" fillId="22" borderId="10" xfId="0" applyNumberFormat="1" applyFont="1" applyFill="1" applyBorder="1" applyAlignment="1">
      <alignment horizontal="center"/>
    </xf>
    <xf numFmtId="10" fontId="1" fillId="0" borderId="0" xfId="0" applyNumberFormat="1" applyFont="1"/>
    <xf numFmtId="165" fontId="3" fillId="3" borderId="17" xfId="0" applyNumberFormat="1" applyFont="1" applyFill="1" applyBorder="1"/>
    <xf numFmtId="165" fontId="24" fillId="0" borderId="18" xfId="0" applyNumberFormat="1" applyFont="1" applyBorder="1" applyAlignment="1">
      <alignment horizontal="center"/>
    </xf>
    <xf numFmtId="10" fontId="24" fillId="0" borderId="21" xfId="0" applyNumberFormat="1" applyFont="1" applyBorder="1" applyAlignment="1">
      <alignment horizontal="center"/>
    </xf>
    <xf numFmtId="166" fontId="0" fillId="15" borderId="2" xfId="0" applyNumberFormat="1" applyFill="1" applyBorder="1" applyAlignment="1" applyProtection="1">
      <alignment horizontal="center"/>
      <protection locked="0"/>
    </xf>
    <xf numFmtId="0" fontId="1" fillId="23" borderId="0" xfId="0" applyFont="1" applyFill="1" applyProtection="1">
      <protection hidden="1"/>
    </xf>
    <xf numFmtId="0" fontId="0" fillId="23" borderId="0" xfId="0" applyFill="1" applyProtection="1">
      <protection hidden="1"/>
    </xf>
    <xf numFmtId="4" fontId="0" fillId="11" borderId="2" xfId="0" applyNumberFormat="1" applyFill="1" applyBorder="1" applyAlignment="1" applyProtection="1">
      <alignment horizontal="center"/>
      <protection hidden="1"/>
    </xf>
    <xf numFmtId="0" fontId="7" fillId="26" borderId="2" xfId="0" applyFont="1" applyFill="1" applyBorder="1" applyAlignment="1" applyProtection="1">
      <alignment horizontal="center" vertical="center" wrapText="1"/>
      <protection hidden="1"/>
    </xf>
    <xf numFmtId="0" fontId="3" fillId="26" borderId="2" xfId="0" applyFont="1" applyFill="1" applyBorder="1" applyAlignment="1" applyProtection="1">
      <alignment horizontal="center" vertical="center" wrapText="1"/>
      <protection hidden="1"/>
    </xf>
    <xf numFmtId="0" fontId="26" fillId="5" borderId="0" xfId="0" applyFont="1" applyFill="1" applyAlignment="1" applyProtection="1">
      <alignment horizontal="center"/>
      <protection hidden="1"/>
    </xf>
    <xf numFmtId="0" fontId="26" fillId="23" borderId="0" xfId="0" applyFont="1" applyFill="1" applyAlignment="1" applyProtection="1">
      <alignment horizontal="center"/>
      <protection hidden="1"/>
    </xf>
    <xf numFmtId="0" fontId="5" fillId="0" borderId="0" xfId="0" applyFont="1" applyAlignment="1" applyProtection="1">
      <alignment horizontal="center"/>
      <protection hidden="1"/>
    </xf>
    <xf numFmtId="0" fontId="8" fillId="8" borderId="0" xfId="0" applyFont="1" applyFill="1" applyAlignment="1" applyProtection="1">
      <alignment horizontal="center"/>
      <protection hidden="1"/>
    </xf>
    <xf numFmtId="0" fontId="0" fillId="18" borderId="2" xfId="0" applyFill="1" applyBorder="1" applyAlignment="1" applyProtection="1">
      <alignment horizontal="center" wrapText="1"/>
      <protection hidden="1"/>
    </xf>
    <xf numFmtId="0" fontId="0" fillId="19" borderId="2" xfId="0" applyFill="1" applyBorder="1" applyAlignment="1" applyProtection="1">
      <alignment horizontal="center" wrapText="1"/>
      <protection hidden="1"/>
    </xf>
    <xf numFmtId="0" fontId="0" fillId="7" borderId="2" xfId="0" applyFill="1" applyBorder="1" applyAlignment="1" applyProtection="1">
      <alignment horizontal="center" wrapText="1"/>
      <protection hidden="1"/>
    </xf>
    <xf numFmtId="0" fontId="0" fillId="5" borderId="2" xfId="0" applyFill="1" applyBorder="1" applyAlignment="1" applyProtection="1">
      <alignment horizontal="center" wrapText="1"/>
      <protection hidden="1"/>
    </xf>
    <xf numFmtId="0" fontId="0" fillId="20" borderId="2" xfId="0" applyFill="1" applyBorder="1" applyAlignment="1" applyProtection="1">
      <alignment horizontal="center" wrapText="1"/>
      <protection hidden="1"/>
    </xf>
    <xf numFmtId="0" fontId="0" fillId="17" borderId="2" xfId="0" applyFill="1" applyBorder="1" applyAlignment="1" applyProtection="1">
      <alignment horizontal="center" wrapText="1"/>
      <protection hidden="1"/>
    </xf>
    <xf numFmtId="0" fontId="0" fillId="12" borderId="7" xfId="0" applyFill="1" applyBorder="1" applyProtection="1">
      <protection hidden="1"/>
    </xf>
    <xf numFmtId="0" fontId="0" fillId="12" borderId="5" xfId="0" applyFill="1" applyBorder="1" applyProtection="1">
      <protection hidden="1"/>
    </xf>
    <xf numFmtId="0" fontId="26" fillId="24" borderId="0" xfId="0" applyFont="1" applyFill="1" applyAlignment="1" applyProtection="1">
      <alignment horizontal="center"/>
      <protection hidden="1"/>
    </xf>
    <xf numFmtId="0" fontId="3" fillId="3" borderId="2" xfId="0" applyFont="1" applyFill="1" applyBorder="1" applyAlignment="1" applyProtection="1">
      <alignment horizontal="center" vertical="center" wrapText="1"/>
      <protection hidden="1"/>
    </xf>
    <xf numFmtId="0" fontId="5" fillId="15" borderId="0" xfId="0" applyFont="1" applyFill="1" applyProtection="1">
      <protection hidden="1"/>
    </xf>
    <xf numFmtId="3" fontId="5" fillId="15" borderId="0" xfId="0" applyNumberFormat="1" applyFont="1" applyFill="1" applyProtection="1">
      <protection hidden="1"/>
    </xf>
    <xf numFmtId="10" fontId="5" fillId="15" borderId="0" xfId="2" applyNumberFormat="1" applyFont="1" applyFill="1" applyProtection="1">
      <protection hidden="1"/>
    </xf>
    <xf numFmtId="4" fontId="5" fillId="15" borderId="0" xfId="0" applyNumberFormat="1" applyFont="1" applyFill="1" applyProtection="1">
      <protection hidden="1"/>
    </xf>
    <xf numFmtId="10" fontId="5" fillId="11" borderId="0" xfId="0" applyNumberFormat="1" applyFont="1" applyFill="1" applyProtection="1">
      <protection hidden="1"/>
    </xf>
    <xf numFmtId="3" fontId="5" fillId="11" borderId="0" xfId="0" applyNumberFormat="1" applyFont="1" applyFill="1" applyProtection="1">
      <protection hidden="1"/>
    </xf>
    <xf numFmtId="4" fontId="1" fillId="11" borderId="2" xfId="0" applyNumberFormat="1" applyFont="1" applyFill="1" applyBorder="1" applyProtection="1">
      <protection hidden="1"/>
    </xf>
    <xf numFmtId="4" fontId="5" fillId="11" borderId="0" xfId="0" applyNumberFormat="1" applyFont="1" applyFill="1" applyProtection="1">
      <protection hidden="1"/>
    </xf>
    <xf numFmtId="0" fontId="20" fillId="37" borderId="0" xfId="0" applyFont="1" applyFill="1" applyAlignment="1" applyProtection="1">
      <alignment vertical="center"/>
      <protection hidden="1"/>
    </xf>
    <xf numFmtId="0" fontId="20" fillId="5" borderId="0" xfId="0" applyFont="1" applyFill="1" applyAlignment="1" applyProtection="1">
      <alignment horizontal="left" vertical="center"/>
      <protection hidden="1"/>
    </xf>
    <xf numFmtId="0" fontId="20" fillId="5" borderId="0" xfId="0" applyFont="1" applyFill="1" applyAlignment="1" applyProtection="1">
      <alignment vertical="center"/>
      <protection hidden="1"/>
    </xf>
    <xf numFmtId="0" fontId="26" fillId="24" borderId="0" xfId="0" applyFont="1" applyFill="1" applyProtection="1">
      <protection hidden="1"/>
    </xf>
    <xf numFmtId="0" fontId="0" fillId="24" borderId="0" xfId="0" applyFill="1" applyProtection="1">
      <protection hidden="1"/>
    </xf>
    <xf numFmtId="0" fontId="0" fillId="5" borderId="0" xfId="0" applyFill="1" applyProtection="1">
      <protection hidden="1"/>
    </xf>
    <xf numFmtId="0" fontId="19" fillId="5" borderId="0" xfId="0" applyFont="1" applyFill="1" applyProtection="1">
      <protection hidden="1"/>
    </xf>
    <xf numFmtId="0" fontId="25" fillId="5" borderId="0" xfId="0" applyFont="1" applyFill="1" applyProtection="1">
      <protection hidden="1"/>
    </xf>
    <xf numFmtId="0" fontId="0" fillId="5" borderId="0" xfId="0" applyFill="1" applyAlignment="1" applyProtection="1">
      <alignment horizontal="center"/>
      <protection hidden="1"/>
    </xf>
    <xf numFmtId="14" fontId="0" fillId="11" borderId="0" xfId="0" applyNumberFormat="1" applyFill="1" applyAlignment="1" applyProtection="1">
      <alignment horizontal="center"/>
      <protection hidden="1"/>
    </xf>
    <xf numFmtId="0" fontId="1" fillId="5" borderId="0" xfId="0" applyFont="1" applyFill="1" applyProtection="1">
      <protection hidden="1"/>
    </xf>
    <xf numFmtId="3" fontId="0" fillId="5" borderId="0" xfId="0" applyNumberFormat="1" applyFill="1" applyProtection="1">
      <protection hidden="1"/>
    </xf>
    <xf numFmtId="0" fontId="19" fillId="36" borderId="0" xfId="0" applyFont="1" applyFill="1" applyProtection="1">
      <protection hidden="1"/>
    </xf>
    <xf numFmtId="0" fontId="0" fillId="36" borderId="0" xfId="0" applyFill="1" applyProtection="1">
      <protection hidden="1"/>
    </xf>
    <xf numFmtId="0" fontId="1" fillId="36" borderId="0" xfId="0" applyFont="1" applyFill="1" applyProtection="1">
      <protection hidden="1"/>
    </xf>
    <xf numFmtId="0" fontId="19" fillId="36" borderId="0" xfId="0" applyFont="1" applyFill="1" applyAlignment="1" applyProtection="1">
      <alignment horizontal="right"/>
      <protection hidden="1"/>
    </xf>
    <xf numFmtId="0" fontId="3" fillId="5" borderId="0" xfId="0" applyFont="1" applyFill="1" applyProtection="1">
      <protection hidden="1"/>
    </xf>
    <xf numFmtId="0" fontId="7" fillId="10" borderId="0" xfId="0" applyFont="1" applyFill="1" applyAlignment="1" applyProtection="1">
      <alignment horizontal="center" vertical="center"/>
      <protection hidden="1"/>
    </xf>
    <xf numFmtId="0" fontId="3" fillId="10" borderId="0" xfId="0" applyFont="1" applyFill="1" applyAlignment="1" applyProtection="1">
      <alignment horizontal="center" vertical="center"/>
      <protection hidden="1"/>
    </xf>
    <xf numFmtId="0" fontId="3" fillId="10" borderId="0" xfId="0" applyFont="1" applyFill="1" applyAlignment="1" applyProtection="1">
      <alignment horizontal="center" vertical="center" wrapText="1"/>
      <protection hidden="1"/>
    </xf>
    <xf numFmtId="0" fontId="3" fillId="10" borderId="0" xfId="0" applyFont="1" applyFill="1" applyAlignment="1" applyProtection="1">
      <alignment vertical="center"/>
      <protection hidden="1"/>
    </xf>
    <xf numFmtId="0" fontId="3" fillId="10" borderId="0" xfId="0" applyFont="1" applyFill="1" applyProtection="1">
      <protection hidden="1"/>
    </xf>
    <xf numFmtId="0" fontId="19" fillId="12" borderId="0" xfId="0" applyFont="1" applyFill="1" applyProtection="1">
      <protection hidden="1"/>
    </xf>
    <xf numFmtId="4" fontId="2" fillId="15" borderId="2" xfId="0" applyNumberFormat="1" applyFont="1" applyFill="1" applyBorder="1" applyAlignment="1" applyProtection="1">
      <alignment horizontal="center"/>
      <protection hidden="1"/>
    </xf>
    <xf numFmtId="0" fontId="2" fillId="12" borderId="0" xfId="0" applyFont="1" applyFill="1" applyAlignment="1" applyProtection="1">
      <alignment horizontal="center"/>
      <protection hidden="1"/>
    </xf>
    <xf numFmtId="0" fontId="2" fillId="12" borderId="0" xfId="0" applyFont="1" applyFill="1" applyProtection="1">
      <protection hidden="1"/>
    </xf>
    <xf numFmtId="10" fontId="2" fillId="15" borderId="2" xfId="2" applyNumberFormat="1" applyFont="1" applyFill="1" applyBorder="1" applyAlignment="1" applyProtection="1">
      <alignment horizontal="center"/>
      <protection hidden="1"/>
    </xf>
    <xf numFmtId="0" fontId="0" fillId="12" borderId="0" xfId="0" applyFill="1" applyProtection="1">
      <protection hidden="1"/>
    </xf>
    <xf numFmtId="0" fontId="19" fillId="10" borderId="0" xfId="0" applyFont="1" applyFill="1" applyProtection="1">
      <protection hidden="1"/>
    </xf>
    <xf numFmtId="0" fontId="25" fillId="10" borderId="0" xfId="0" applyFont="1" applyFill="1" applyAlignment="1" applyProtection="1">
      <alignment horizontal="center"/>
      <protection hidden="1"/>
    </xf>
    <xf numFmtId="0" fontId="25" fillId="10" borderId="0" xfId="0" applyFont="1" applyFill="1" applyProtection="1">
      <protection hidden="1"/>
    </xf>
    <xf numFmtId="164" fontId="0" fillId="10" borderId="0" xfId="0" applyNumberFormat="1" applyFill="1" applyAlignment="1" applyProtection="1">
      <alignment horizontal="center"/>
      <protection hidden="1"/>
    </xf>
    <xf numFmtId="10" fontId="0" fillId="10" borderId="0" xfId="2" applyNumberFormat="1" applyFont="1" applyFill="1" applyAlignment="1" applyProtection="1">
      <alignment horizontal="center"/>
      <protection hidden="1"/>
    </xf>
    <xf numFmtId="0" fontId="2" fillId="10" borderId="0" xfId="0" applyFont="1" applyFill="1" applyProtection="1">
      <protection hidden="1"/>
    </xf>
    <xf numFmtId="0" fontId="0" fillId="37" borderId="0" xfId="0" applyFill="1" applyProtection="1">
      <protection hidden="1"/>
    </xf>
    <xf numFmtId="0" fontId="1" fillId="37" borderId="0" xfId="0" applyFont="1" applyFill="1" applyProtection="1">
      <protection hidden="1"/>
    </xf>
    <xf numFmtId="0" fontId="0" fillId="18" borderId="0" xfId="0" applyFill="1" applyProtection="1">
      <protection hidden="1"/>
    </xf>
    <xf numFmtId="0" fontId="1" fillId="18" borderId="0" xfId="0" applyFont="1" applyFill="1" applyProtection="1">
      <protection hidden="1"/>
    </xf>
    <xf numFmtId="0" fontId="3" fillId="18" borderId="0" xfId="0" applyFont="1" applyFill="1" applyProtection="1">
      <protection hidden="1"/>
    </xf>
    <xf numFmtId="4" fontId="0" fillId="18" borderId="0" xfId="0" applyNumberFormat="1" applyFill="1" applyProtection="1">
      <protection hidden="1"/>
    </xf>
    <xf numFmtId="0" fontId="19" fillId="23" borderId="0" xfId="0" applyFont="1" applyFill="1" applyProtection="1">
      <protection hidden="1"/>
    </xf>
    <xf numFmtId="0" fontId="25" fillId="23" borderId="0" xfId="0" applyFont="1" applyFill="1" applyProtection="1">
      <protection hidden="1"/>
    </xf>
    <xf numFmtId="0" fontId="3" fillId="21" borderId="0" xfId="0" applyFont="1" applyFill="1" applyAlignment="1" applyProtection="1">
      <alignment horizontal="center"/>
      <protection hidden="1"/>
    </xf>
    <xf numFmtId="1" fontId="0" fillId="11" borderId="0" xfId="0" applyNumberFormat="1" applyFill="1" applyProtection="1">
      <protection hidden="1"/>
    </xf>
    <xf numFmtId="0" fontId="0" fillId="23" borderId="0" xfId="0" applyFill="1" applyAlignment="1" applyProtection="1">
      <alignment horizontal="center"/>
      <protection hidden="1"/>
    </xf>
    <xf numFmtId="0" fontId="0" fillId="23" borderId="0" xfId="0" applyFill="1" applyAlignment="1" applyProtection="1">
      <alignment horizontal="left"/>
      <protection hidden="1"/>
    </xf>
    <xf numFmtId="3" fontId="0" fillId="11" borderId="0" xfId="0" applyNumberFormat="1" applyFill="1" applyProtection="1">
      <protection hidden="1"/>
    </xf>
    <xf numFmtId="0" fontId="1" fillId="15" borderId="0" xfId="0" applyFont="1" applyFill="1" applyProtection="1">
      <protection hidden="1"/>
    </xf>
    <xf numFmtId="0" fontId="0" fillId="15" borderId="0" xfId="0" applyFill="1" applyProtection="1">
      <protection hidden="1"/>
    </xf>
    <xf numFmtId="0" fontId="28" fillId="15" borderId="0" xfId="0" applyFont="1" applyFill="1" applyProtection="1">
      <protection hidden="1"/>
    </xf>
    <xf numFmtId="14" fontId="0" fillId="11" borderId="0" xfId="0" applyNumberFormat="1" applyFill="1" applyProtection="1">
      <protection hidden="1"/>
    </xf>
    <xf numFmtId="14" fontId="5" fillId="0" borderId="0" xfId="0" applyNumberFormat="1" applyFont="1" applyProtection="1">
      <protection hidden="1"/>
    </xf>
    <xf numFmtId="3" fontId="5" fillId="0" borderId="0" xfId="0" applyNumberFormat="1" applyFont="1" applyProtection="1">
      <protection hidden="1"/>
    </xf>
    <xf numFmtId="0" fontId="35" fillId="38" borderId="0" xfId="0" applyFont="1" applyFill="1" applyAlignment="1" applyProtection="1">
      <alignment horizontal="center"/>
      <protection hidden="1"/>
    </xf>
    <xf numFmtId="2" fontId="0" fillId="0" borderId="0" xfId="0" applyNumberFormat="1"/>
    <xf numFmtId="4" fontId="1" fillId="11" borderId="0" xfId="0" applyNumberFormat="1" applyFont="1" applyFill="1" applyProtection="1">
      <protection hidden="1"/>
    </xf>
    <xf numFmtId="0" fontId="2" fillId="39" borderId="2" xfId="0" applyFont="1" applyFill="1" applyBorder="1" applyAlignment="1" applyProtection="1">
      <alignment horizontal="center" vertical="center" wrapText="1"/>
      <protection hidden="1"/>
    </xf>
    <xf numFmtId="0" fontId="3" fillId="39" borderId="2" xfId="0" applyFont="1" applyFill="1" applyBorder="1" applyAlignment="1" applyProtection="1">
      <alignment horizontal="center" vertical="center" wrapText="1"/>
      <protection hidden="1"/>
    </xf>
    <xf numFmtId="0" fontId="4" fillId="39" borderId="2" xfId="0" applyFont="1" applyFill="1" applyBorder="1" applyAlignment="1" applyProtection="1">
      <alignment vertical="center" wrapText="1"/>
      <protection hidden="1"/>
    </xf>
    <xf numFmtId="3" fontId="5" fillId="39" borderId="2" xfId="0" applyNumberFormat="1" applyFont="1" applyFill="1" applyBorder="1" applyAlignment="1" applyProtection="1">
      <alignment horizontal="center"/>
      <protection hidden="1"/>
    </xf>
    <xf numFmtId="0" fontId="6" fillId="39" borderId="2" xfId="0" applyFont="1" applyFill="1" applyBorder="1" applyAlignment="1" applyProtection="1">
      <alignment horizontal="center" vertical="center"/>
      <protection hidden="1"/>
    </xf>
    <xf numFmtId="0" fontId="5" fillId="0" borderId="0" xfId="0" applyFont="1" applyAlignment="1" applyProtection="1">
      <alignment wrapText="1"/>
      <protection hidden="1"/>
    </xf>
    <xf numFmtId="0" fontId="5" fillId="39" borderId="2" xfId="0" applyFont="1" applyFill="1" applyBorder="1" applyAlignment="1" applyProtection="1">
      <alignment horizontal="center"/>
      <protection hidden="1"/>
    </xf>
    <xf numFmtId="0" fontId="6" fillId="0" borderId="0" xfId="0" applyFont="1" applyAlignment="1" applyProtection="1">
      <alignment vertical="center"/>
      <protection hidden="1"/>
    </xf>
    <xf numFmtId="0" fontId="6" fillId="13" borderId="27" xfId="0" applyFont="1" applyFill="1" applyBorder="1" applyAlignment="1" applyProtection="1">
      <alignment horizontal="center" vertical="center" wrapText="1"/>
      <protection hidden="1"/>
    </xf>
    <xf numFmtId="0" fontId="6" fillId="13" borderId="0" xfId="0" applyFont="1" applyFill="1" applyAlignment="1" applyProtection="1">
      <alignment horizontal="center" vertical="center"/>
      <protection hidden="1"/>
    </xf>
    <xf numFmtId="4" fontId="25" fillId="10" borderId="0" xfId="0" applyNumberFormat="1" applyFont="1" applyFill="1" applyAlignment="1" applyProtection="1">
      <alignment horizontal="center"/>
      <protection hidden="1"/>
    </xf>
    <xf numFmtId="10" fontId="25" fillId="10" borderId="0" xfId="2" applyNumberFormat="1" applyFont="1" applyFill="1" applyAlignment="1" applyProtection="1">
      <alignment horizontal="center"/>
      <protection hidden="1"/>
    </xf>
    <xf numFmtId="4" fontId="2" fillId="15" borderId="28" xfId="0" applyNumberFormat="1" applyFont="1" applyFill="1" applyBorder="1" applyAlignment="1" applyProtection="1">
      <alignment horizontal="center"/>
      <protection hidden="1"/>
    </xf>
    <xf numFmtId="0" fontId="3" fillId="39" borderId="29" xfId="0" applyFont="1" applyFill="1" applyBorder="1" applyAlignment="1" applyProtection="1">
      <alignment horizontal="center" vertical="center" wrapText="1"/>
      <protection hidden="1"/>
    </xf>
    <xf numFmtId="0" fontId="0" fillId="39" borderId="30" xfId="0" applyFill="1" applyBorder="1" applyProtection="1">
      <protection hidden="1"/>
    </xf>
    <xf numFmtId="4" fontId="25" fillId="39" borderId="30" xfId="0" applyNumberFormat="1" applyFont="1" applyFill="1" applyBorder="1" applyAlignment="1" applyProtection="1">
      <alignment horizontal="center"/>
      <protection hidden="1"/>
    </xf>
    <xf numFmtId="164" fontId="0" fillId="39" borderId="21" xfId="0" applyNumberFormat="1" applyFill="1" applyBorder="1" applyAlignment="1" applyProtection="1">
      <alignment horizontal="center"/>
      <protection hidden="1"/>
    </xf>
    <xf numFmtId="0" fontId="7" fillId="39" borderId="2" xfId="0" applyFont="1" applyFill="1" applyBorder="1" applyAlignment="1" applyProtection="1">
      <alignment horizontal="center" vertical="center" wrapText="1"/>
      <protection hidden="1"/>
    </xf>
    <xf numFmtId="0" fontId="1" fillId="39" borderId="2" xfId="0" applyFont="1" applyFill="1" applyBorder="1" applyAlignment="1" applyProtection="1">
      <alignment vertical="center" wrapText="1"/>
      <protection hidden="1"/>
    </xf>
    <xf numFmtId="0" fontId="1" fillId="12" borderId="2" xfId="0" applyFont="1" applyFill="1" applyBorder="1" applyAlignment="1" applyProtection="1">
      <alignment vertical="center" wrapText="1"/>
      <protection hidden="1"/>
    </xf>
    <xf numFmtId="0" fontId="36" fillId="5" borderId="0" xfId="0" applyFont="1" applyFill="1" applyProtection="1">
      <protection hidden="1"/>
    </xf>
    <xf numFmtId="0" fontId="0" fillId="11" borderId="0" xfId="0" applyFill="1" applyProtection="1">
      <protection locked="0"/>
    </xf>
    <xf numFmtId="0" fontId="5" fillId="3" borderId="2" xfId="0" applyFont="1" applyFill="1" applyBorder="1" applyAlignment="1" applyProtection="1">
      <alignment horizontal="center" vertical="center"/>
      <protection hidden="1"/>
    </xf>
    <xf numFmtId="0" fontId="5" fillId="3" borderId="31" xfId="0" applyFont="1" applyFill="1" applyBorder="1" applyAlignment="1" applyProtection="1">
      <alignment horizontal="center" vertical="center"/>
      <protection hidden="1"/>
    </xf>
    <xf numFmtId="0" fontId="5" fillId="40" borderId="31" xfId="0" applyFont="1" applyFill="1" applyBorder="1" applyAlignment="1" applyProtection="1">
      <alignment horizontal="center" vertical="center" wrapText="1"/>
      <protection hidden="1"/>
    </xf>
    <xf numFmtId="0" fontId="5" fillId="40" borderId="2" xfId="0" applyFont="1" applyFill="1" applyBorder="1" applyAlignment="1" applyProtection="1">
      <alignment horizontal="center" vertical="center" wrapText="1"/>
      <protection hidden="1"/>
    </xf>
    <xf numFmtId="4" fontId="1" fillId="40" borderId="2" xfId="0" applyNumberFormat="1" applyFont="1" applyFill="1" applyBorder="1" applyProtection="1">
      <protection hidden="1"/>
    </xf>
    <xf numFmtId="0" fontId="1" fillId="3" borderId="31" xfId="0" applyFont="1" applyFill="1" applyBorder="1" applyAlignment="1" applyProtection="1">
      <alignment vertical="center" wrapText="1"/>
      <protection hidden="1"/>
    </xf>
    <xf numFmtId="1" fontId="6" fillId="0" borderId="0" xfId="0" applyNumberFormat="1" applyFont="1" applyAlignment="1" applyProtection="1">
      <alignment horizontal="center" vertical="center"/>
      <protection hidden="1"/>
    </xf>
    <xf numFmtId="1" fontId="3" fillId="0" borderId="0" xfId="0" applyNumberFormat="1" applyFont="1" applyAlignment="1" applyProtection="1">
      <alignment horizontal="center" vertical="center"/>
      <protection hidden="1"/>
    </xf>
    <xf numFmtId="4" fontId="1" fillId="11" borderId="0" xfId="0" applyNumberFormat="1" applyFont="1" applyFill="1" applyAlignment="1" applyProtection="1">
      <alignment wrapText="1"/>
      <protection hidden="1"/>
    </xf>
    <xf numFmtId="0" fontId="5" fillId="12" borderId="1" xfId="0" applyFont="1" applyFill="1" applyBorder="1" applyProtection="1">
      <protection hidden="1"/>
    </xf>
    <xf numFmtId="2" fontId="5" fillId="12" borderId="6" xfId="0" applyNumberFormat="1" applyFont="1" applyFill="1" applyBorder="1" applyProtection="1">
      <protection hidden="1"/>
    </xf>
    <xf numFmtId="2" fontId="5" fillId="12" borderId="7" xfId="0" applyNumberFormat="1" applyFont="1" applyFill="1" applyBorder="1" applyProtection="1">
      <protection hidden="1"/>
    </xf>
    <xf numFmtId="2" fontId="5" fillId="12" borderId="5" xfId="0" applyNumberFormat="1" applyFont="1" applyFill="1" applyBorder="1" applyProtection="1">
      <protection hidden="1"/>
    </xf>
    <xf numFmtId="2" fontId="5" fillId="12" borderId="2" xfId="0" applyNumberFormat="1" applyFont="1" applyFill="1" applyBorder="1" applyAlignment="1" applyProtection="1">
      <alignment horizontal="center"/>
      <protection hidden="1"/>
    </xf>
    <xf numFmtId="2" fontId="5" fillId="12" borderId="2" xfId="0" applyNumberFormat="1" applyFont="1" applyFill="1" applyBorder="1" applyProtection="1">
      <protection hidden="1"/>
    </xf>
    <xf numFmtId="0" fontId="5" fillId="12" borderId="2" xfId="0" applyFont="1" applyFill="1" applyBorder="1" applyAlignment="1" applyProtection="1">
      <alignment vertical="center"/>
      <protection hidden="1"/>
    </xf>
    <xf numFmtId="1" fontId="6" fillId="12" borderId="2" xfId="0" applyNumberFormat="1" applyFont="1" applyFill="1" applyBorder="1" applyAlignment="1" applyProtection="1">
      <alignment horizontal="center"/>
      <protection hidden="1"/>
    </xf>
    <xf numFmtId="4" fontId="1" fillId="11" borderId="32" xfId="0" applyNumberFormat="1" applyFont="1" applyFill="1" applyBorder="1" applyAlignment="1" applyProtection="1">
      <alignment wrapText="1"/>
      <protection hidden="1"/>
    </xf>
    <xf numFmtId="10" fontId="5" fillId="0" borderId="0" xfId="0" applyNumberFormat="1" applyFont="1" applyAlignment="1" applyProtection="1">
      <alignment horizontal="right"/>
      <protection hidden="1"/>
    </xf>
    <xf numFmtId="4" fontId="5" fillId="0" borderId="0" xfId="0" applyNumberFormat="1" applyFont="1" applyProtection="1">
      <protection hidden="1"/>
    </xf>
    <xf numFmtId="0" fontId="5" fillId="41" borderId="1" xfId="0" applyFont="1" applyFill="1" applyBorder="1" applyProtection="1">
      <protection hidden="1"/>
    </xf>
    <xf numFmtId="2" fontId="5" fillId="41" borderId="6" xfId="0" applyNumberFormat="1" applyFont="1" applyFill="1" applyBorder="1" applyProtection="1">
      <protection hidden="1"/>
    </xf>
    <xf numFmtId="2" fontId="5" fillId="41" borderId="7" xfId="0" applyNumberFormat="1" applyFont="1" applyFill="1" applyBorder="1" applyProtection="1">
      <protection hidden="1"/>
    </xf>
    <xf numFmtId="2" fontId="5" fillId="41" borderId="5" xfId="0" applyNumberFormat="1" applyFont="1" applyFill="1" applyBorder="1" applyProtection="1">
      <protection hidden="1"/>
    </xf>
    <xf numFmtId="2" fontId="5" fillId="41" borderId="2" xfId="0" applyNumberFormat="1" applyFont="1" applyFill="1" applyBorder="1" applyAlignment="1" applyProtection="1">
      <alignment horizontal="center"/>
      <protection hidden="1"/>
    </xf>
    <xf numFmtId="2" fontId="5" fillId="41" borderId="2" xfId="0" applyNumberFormat="1" applyFont="1" applyFill="1" applyBorder="1" applyProtection="1">
      <protection hidden="1"/>
    </xf>
    <xf numFmtId="0" fontId="5" fillId="41" borderId="2" xfId="0" applyFont="1" applyFill="1" applyBorder="1" applyAlignment="1" applyProtection="1">
      <alignment vertical="center"/>
      <protection hidden="1"/>
    </xf>
    <xf numFmtId="1" fontId="6" fillId="41" borderId="2" xfId="0" applyNumberFormat="1" applyFont="1" applyFill="1" applyBorder="1" applyAlignment="1" applyProtection="1">
      <alignment horizontal="center"/>
      <protection hidden="1"/>
    </xf>
    <xf numFmtId="0" fontId="5" fillId="8" borderId="1" xfId="0" applyFont="1" applyFill="1" applyBorder="1" applyProtection="1">
      <protection hidden="1"/>
    </xf>
    <xf numFmtId="2" fontId="5" fillId="8" borderId="6" xfId="0" applyNumberFormat="1" applyFont="1" applyFill="1" applyBorder="1" applyProtection="1">
      <protection hidden="1"/>
    </xf>
    <xf numFmtId="2" fontId="5" fillId="8" borderId="7" xfId="0" applyNumberFormat="1" applyFont="1" applyFill="1" applyBorder="1" applyProtection="1">
      <protection hidden="1"/>
    </xf>
    <xf numFmtId="2" fontId="5" fillId="8" borderId="5" xfId="0" applyNumberFormat="1" applyFont="1" applyFill="1" applyBorder="1" applyProtection="1">
      <protection hidden="1"/>
    </xf>
    <xf numFmtId="2" fontId="5" fillId="8" borderId="2" xfId="0" applyNumberFormat="1" applyFont="1" applyFill="1" applyBorder="1" applyAlignment="1" applyProtection="1">
      <alignment horizontal="center"/>
      <protection hidden="1"/>
    </xf>
    <xf numFmtId="2" fontId="5" fillId="8" borderId="2" xfId="0" applyNumberFormat="1" applyFont="1" applyFill="1" applyBorder="1" applyProtection="1">
      <protection hidden="1"/>
    </xf>
    <xf numFmtId="0" fontId="5" fillId="8" borderId="2" xfId="0" applyFont="1" applyFill="1" applyBorder="1" applyAlignment="1" applyProtection="1">
      <alignment vertical="center"/>
      <protection hidden="1"/>
    </xf>
    <xf numFmtId="1" fontId="6" fillId="8" borderId="2" xfId="0" applyNumberFormat="1" applyFont="1" applyFill="1" applyBorder="1" applyAlignment="1" applyProtection="1">
      <alignment horizontal="center"/>
      <protection hidden="1"/>
    </xf>
    <xf numFmtId="0" fontId="5" fillId="10" borderId="1" xfId="0" applyFont="1" applyFill="1" applyBorder="1" applyProtection="1">
      <protection hidden="1"/>
    </xf>
    <xf numFmtId="2" fontId="5" fillId="10" borderId="6" xfId="0" applyNumberFormat="1" applyFont="1" applyFill="1" applyBorder="1" applyProtection="1">
      <protection hidden="1"/>
    </xf>
    <xf numFmtId="2" fontId="5" fillId="10" borderId="7" xfId="0" applyNumberFormat="1" applyFont="1" applyFill="1" applyBorder="1" applyProtection="1">
      <protection hidden="1"/>
    </xf>
    <xf numFmtId="2" fontId="5" fillId="10" borderId="5" xfId="0" applyNumberFormat="1" applyFont="1" applyFill="1" applyBorder="1" applyProtection="1">
      <protection hidden="1"/>
    </xf>
    <xf numFmtId="2" fontId="5" fillId="10" borderId="2" xfId="0" applyNumberFormat="1" applyFont="1" applyFill="1" applyBorder="1" applyAlignment="1" applyProtection="1">
      <alignment horizontal="center"/>
      <protection hidden="1"/>
    </xf>
    <xf numFmtId="2" fontId="5" fillId="10" borderId="2" xfId="0" applyNumberFormat="1" applyFont="1" applyFill="1" applyBorder="1" applyProtection="1">
      <protection hidden="1"/>
    </xf>
    <xf numFmtId="0" fontId="5" fillId="10" borderId="2" xfId="0" applyFont="1" applyFill="1" applyBorder="1" applyAlignment="1" applyProtection="1">
      <alignment vertical="center"/>
      <protection hidden="1"/>
    </xf>
    <xf numFmtId="1" fontId="6" fillId="10" borderId="2" xfId="0" applyNumberFormat="1" applyFont="1" applyFill="1" applyBorder="1" applyAlignment="1" applyProtection="1">
      <alignment horizontal="center"/>
      <protection hidden="1"/>
    </xf>
    <xf numFmtId="0" fontId="5" fillId="6" borderId="1" xfId="0" applyFont="1" applyFill="1" applyBorder="1" applyProtection="1">
      <protection hidden="1"/>
    </xf>
    <xf numFmtId="2" fontId="5" fillId="6" borderId="6" xfId="0" applyNumberFormat="1" applyFont="1" applyFill="1" applyBorder="1" applyProtection="1">
      <protection hidden="1"/>
    </xf>
    <xf numFmtId="2" fontId="5" fillId="6" borderId="7" xfId="0" applyNumberFormat="1" applyFont="1" applyFill="1" applyBorder="1" applyProtection="1">
      <protection hidden="1"/>
    </xf>
    <xf numFmtId="2" fontId="5" fillId="6" borderId="5" xfId="0" applyNumberFormat="1" applyFont="1" applyFill="1" applyBorder="1" applyProtection="1">
      <protection hidden="1"/>
    </xf>
    <xf numFmtId="2" fontId="5" fillId="6" borderId="2" xfId="0" applyNumberFormat="1" applyFont="1" applyFill="1" applyBorder="1" applyAlignment="1" applyProtection="1">
      <alignment horizontal="center"/>
      <protection hidden="1"/>
    </xf>
    <xf numFmtId="2" fontId="5" fillId="6" borderId="2" xfId="0" applyNumberFormat="1" applyFont="1" applyFill="1" applyBorder="1" applyProtection="1">
      <protection hidden="1"/>
    </xf>
    <xf numFmtId="0" fontId="5" fillId="6" borderId="2" xfId="0" applyFont="1" applyFill="1" applyBorder="1" applyAlignment="1" applyProtection="1">
      <alignment vertical="center"/>
      <protection hidden="1"/>
    </xf>
    <xf numFmtId="1" fontId="6" fillId="6" borderId="2" xfId="0" applyNumberFormat="1" applyFont="1" applyFill="1" applyBorder="1" applyAlignment="1" applyProtection="1">
      <alignment horizontal="center"/>
      <protection hidden="1"/>
    </xf>
    <xf numFmtId="0" fontId="5" fillId="42" borderId="2" xfId="0" applyFont="1" applyFill="1" applyBorder="1" applyAlignment="1" applyProtection="1">
      <alignment vertical="center"/>
      <protection hidden="1"/>
    </xf>
    <xf numFmtId="2" fontId="5" fillId="42" borderId="6" xfId="0" applyNumberFormat="1" applyFont="1" applyFill="1" applyBorder="1" applyProtection="1">
      <protection hidden="1"/>
    </xf>
    <xf numFmtId="2" fontId="5" fillId="42" borderId="7" xfId="0" applyNumberFormat="1" applyFont="1" applyFill="1" applyBorder="1" applyProtection="1">
      <protection hidden="1"/>
    </xf>
    <xf numFmtId="2" fontId="5" fillId="42" borderId="5" xfId="0" applyNumberFormat="1" applyFont="1" applyFill="1" applyBorder="1" applyProtection="1">
      <protection hidden="1"/>
    </xf>
    <xf numFmtId="2" fontId="5" fillId="42" borderId="2" xfId="0" applyNumberFormat="1" applyFont="1" applyFill="1" applyBorder="1" applyAlignment="1" applyProtection="1">
      <alignment horizontal="center"/>
      <protection hidden="1"/>
    </xf>
    <xf numFmtId="2" fontId="5" fillId="42" borderId="2" xfId="0" applyNumberFormat="1" applyFont="1" applyFill="1" applyBorder="1" applyProtection="1">
      <protection hidden="1"/>
    </xf>
    <xf numFmtId="1" fontId="6" fillId="42" borderId="2" xfId="0" applyNumberFormat="1" applyFont="1" applyFill="1" applyBorder="1" applyAlignment="1" applyProtection="1">
      <alignment horizontal="center"/>
      <protection hidden="1"/>
    </xf>
    <xf numFmtId="1" fontId="5" fillId="42" borderId="0" xfId="0" applyNumberFormat="1" applyFont="1" applyFill="1" applyAlignment="1" applyProtection="1">
      <alignment horizontal="center"/>
      <protection hidden="1"/>
    </xf>
    <xf numFmtId="0" fontId="3" fillId="43" borderId="17" xfId="0" applyFont="1" applyFill="1" applyBorder="1" applyAlignment="1" applyProtection="1">
      <alignment horizontal="center" vertical="center" wrapText="1"/>
      <protection hidden="1"/>
    </xf>
    <xf numFmtId="1" fontId="3" fillId="43" borderId="33" xfId="0" applyNumberFormat="1" applyFont="1" applyFill="1" applyBorder="1" applyAlignment="1" applyProtection="1">
      <alignment horizontal="center" vertical="center"/>
      <protection hidden="1"/>
    </xf>
    <xf numFmtId="1" fontId="3" fillId="43" borderId="18" xfId="0" applyNumberFormat="1" applyFont="1" applyFill="1" applyBorder="1" applyAlignment="1" applyProtection="1">
      <alignment horizontal="center" vertical="center"/>
      <protection hidden="1"/>
    </xf>
    <xf numFmtId="4" fontId="1" fillId="10" borderId="17" xfId="0" applyNumberFormat="1" applyFont="1" applyFill="1" applyBorder="1" applyProtection="1">
      <protection hidden="1"/>
    </xf>
    <xf numFmtId="4" fontId="1" fillId="10" borderId="18" xfId="0" applyNumberFormat="1" applyFont="1" applyFill="1" applyBorder="1" applyProtection="1">
      <protection hidden="1"/>
    </xf>
    <xf numFmtId="0" fontId="2" fillId="44" borderId="2" xfId="0" applyFont="1" applyFill="1" applyBorder="1" applyAlignment="1" applyProtection="1">
      <alignment vertical="center"/>
      <protection hidden="1"/>
    </xf>
    <xf numFmtId="0" fontId="37" fillId="0" borderId="0" xfId="0" applyFont="1" applyAlignment="1" applyProtection="1">
      <alignment horizontal="center" vertical="center"/>
      <protection hidden="1"/>
    </xf>
    <xf numFmtId="0" fontId="37" fillId="0" borderId="0" xfId="0" applyFont="1" applyAlignment="1" applyProtection="1">
      <alignment vertical="center"/>
      <protection hidden="1"/>
    </xf>
    <xf numFmtId="3" fontId="5" fillId="0" borderId="2" xfId="0" applyNumberFormat="1" applyFont="1" applyBorder="1" applyAlignment="1" applyProtection="1">
      <alignment horizontal="center"/>
      <protection locked="0"/>
    </xf>
    <xf numFmtId="0" fontId="5" fillId="0" borderId="0" xfId="0" applyFont="1" applyProtection="1">
      <protection locked="0"/>
    </xf>
    <xf numFmtId="3" fontId="5" fillId="3" borderId="12" xfId="0" applyNumberFormat="1" applyFont="1" applyFill="1" applyBorder="1" applyAlignment="1" applyProtection="1">
      <alignment horizontal="center" vertical="center"/>
      <protection hidden="1"/>
    </xf>
    <xf numFmtId="0" fontId="5" fillId="0" borderId="19" xfId="0" applyFont="1" applyBorder="1" applyAlignment="1" applyProtection="1">
      <alignment horizontal="center"/>
      <protection locked="0"/>
    </xf>
    <xf numFmtId="0" fontId="5" fillId="0" borderId="14" xfId="0" applyFont="1" applyBorder="1" applyAlignment="1" applyProtection="1">
      <alignment horizontal="center"/>
      <protection locked="0"/>
    </xf>
    <xf numFmtId="1" fontId="1" fillId="0" borderId="5" xfId="0" applyNumberFormat="1" applyFont="1" applyBorder="1" applyAlignment="1" applyProtection="1">
      <alignment horizontal="center" vertical="center"/>
      <protection hidden="1"/>
    </xf>
    <xf numFmtId="0" fontId="3" fillId="21" borderId="0" xfId="0" applyFont="1" applyFill="1" applyAlignment="1" applyProtection="1">
      <alignment horizontal="center" vertical="center"/>
      <protection hidden="1"/>
    </xf>
    <xf numFmtId="0" fontId="4" fillId="11" borderId="2" xfId="0" applyFont="1" applyFill="1" applyBorder="1" applyAlignment="1" applyProtection="1">
      <alignment horizontal="center" vertical="center" wrapText="1"/>
      <protection hidden="1"/>
    </xf>
    <xf numFmtId="0" fontId="37" fillId="0" borderId="23" xfId="0" applyFont="1" applyBorder="1" applyAlignment="1" applyProtection="1">
      <alignment horizontal="center" vertical="center"/>
      <protection hidden="1"/>
    </xf>
    <xf numFmtId="167" fontId="5" fillId="0" borderId="0" xfId="2" applyNumberFormat="1" applyFont="1" applyProtection="1">
      <protection hidden="1"/>
    </xf>
    <xf numFmtId="0" fontId="38" fillId="0" borderId="0" xfId="0" applyFont="1" applyAlignment="1" applyProtection="1">
      <alignment horizontal="center" vertical="center"/>
      <protection hidden="1"/>
    </xf>
    <xf numFmtId="0" fontId="37" fillId="0" borderId="0" xfId="0" applyFont="1" applyAlignment="1" applyProtection="1">
      <alignment horizontal="left" vertical="center"/>
      <protection hidden="1"/>
    </xf>
    <xf numFmtId="0" fontId="37" fillId="0" borderId="24" xfId="0" applyFont="1" applyBorder="1" applyAlignment="1" applyProtection="1">
      <alignment horizontal="center" vertical="center"/>
      <protection hidden="1"/>
    </xf>
    <xf numFmtId="0" fontId="37" fillId="0" borderId="16" xfId="0" applyFont="1" applyBorder="1" applyAlignment="1" applyProtection="1">
      <alignment vertical="center"/>
      <protection hidden="1"/>
    </xf>
    <xf numFmtId="0" fontId="19" fillId="5" borderId="0" xfId="0" applyFont="1" applyFill="1" applyAlignment="1" applyProtection="1">
      <alignment vertical="center" wrapText="1"/>
      <protection hidden="1"/>
    </xf>
    <xf numFmtId="0" fontId="19" fillId="45" borderId="0" xfId="0" applyFont="1" applyFill="1" applyProtection="1">
      <protection hidden="1"/>
    </xf>
    <xf numFmtId="3" fontId="6" fillId="11" borderId="2" xfId="0" applyNumberFormat="1" applyFont="1" applyFill="1" applyBorder="1" applyAlignment="1" applyProtection="1">
      <alignment horizontal="center"/>
      <protection hidden="1"/>
    </xf>
    <xf numFmtId="3" fontId="6" fillId="39" borderId="2" xfId="0" applyNumberFormat="1" applyFont="1" applyFill="1" applyBorder="1" applyAlignment="1" applyProtection="1">
      <alignment horizontal="center"/>
      <protection hidden="1"/>
    </xf>
    <xf numFmtId="14" fontId="0" fillId="0" borderId="0" xfId="0" applyNumberFormat="1"/>
    <xf numFmtId="0" fontId="5" fillId="0" borderId="0" xfId="0" applyFont="1" applyAlignment="1" applyProtection="1">
      <alignment horizontal="right"/>
      <protection hidden="1"/>
    </xf>
    <xf numFmtId="0" fontId="7" fillId="44" borderId="2" xfId="0" applyFont="1" applyFill="1" applyBorder="1" applyAlignment="1" applyProtection="1">
      <alignment horizontal="center" vertical="center"/>
      <protection hidden="1"/>
    </xf>
    <xf numFmtId="0" fontId="3" fillId="0" borderId="0" xfId="0" applyFont="1" applyAlignment="1" applyProtection="1">
      <alignment vertical="center"/>
      <protection hidden="1"/>
    </xf>
    <xf numFmtId="0" fontId="3" fillId="37" borderId="0" xfId="0" applyFont="1" applyFill="1" applyAlignment="1" applyProtection="1">
      <alignment horizontal="center" vertical="center"/>
      <protection hidden="1"/>
    </xf>
    <xf numFmtId="1" fontId="3" fillId="43" borderId="34" xfId="0" applyNumberFormat="1" applyFont="1" applyFill="1" applyBorder="1" applyAlignment="1" applyProtection="1">
      <alignment horizontal="center" vertical="center"/>
      <protection hidden="1"/>
    </xf>
    <xf numFmtId="4" fontId="1" fillId="40" borderId="31" xfId="0" applyNumberFormat="1" applyFont="1" applyFill="1" applyBorder="1" applyProtection="1">
      <protection hidden="1"/>
    </xf>
    <xf numFmtId="4" fontId="1" fillId="10" borderId="2" xfId="0" applyNumberFormat="1" applyFont="1" applyFill="1" applyBorder="1" applyAlignment="1" applyProtection="1">
      <alignment horizontal="center"/>
      <protection hidden="1"/>
    </xf>
    <xf numFmtId="4" fontId="1" fillId="10" borderId="6" xfId="0" applyNumberFormat="1" applyFont="1" applyFill="1" applyBorder="1" applyAlignment="1" applyProtection="1">
      <alignment horizontal="center"/>
      <protection hidden="1"/>
    </xf>
    <xf numFmtId="4" fontId="1" fillId="10" borderId="10" xfId="0" applyNumberFormat="1" applyFont="1" applyFill="1" applyBorder="1" applyProtection="1">
      <protection hidden="1"/>
    </xf>
    <xf numFmtId="1" fontId="1" fillId="0" borderId="5" xfId="0" applyNumberFormat="1" applyFont="1" applyBorder="1" applyAlignment="1" applyProtection="1">
      <alignment horizontal="center" vertical="center"/>
      <protection locked="0"/>
    </xf>
    <xf numFmtId="0" fontId="3" fillId="12" borderId="2" xfId="0" applyFont="1" applyFill="1" applyBorder="1" applyAlignment="1" applyProtection="1">
      <alignment horizontal="center" vertical="center"/>
      <protection locked="0" hidden="1"/>
    </xf>
    <xf numFmtId="0" fontId="5" fillId="0" borderId="0" xfId="0" applyFont="1" applyAlignment="1" applyProtection="1">
      <alignment horizontal="left"/>
      <protection locked="0"/>
    </xf>
    <xf numFmtId="2" fontId="0" fillId="36" borderId="0" xfId="0" applyNumberFormat="1" applyFill="1" applyProtection="1">
      <protection hidden="1"/>
    </xf>
    <xf numFmtId="0" fontId="5" fillId="38" borderId="0" xfId="0" applyFont="1" applyFill="1" applyProtection="1">
      <protection hidden="1"/>
    </xf>
    <xf numFmtId="10" fontId="5" fillId="38" borderId="0" xfId="0" applyNumberFormat="1" applyFont="1" applyFill="1" applyProtection="1">
      <protection hidden="1"/>
    </xf>
    <xf numFmtId="168" fontId="5" fillId="0" borderId="0" xfId="0" applyNumberFormat="1" applyFont="1" applyProtection="1">
      <protection hidden="1"/>
    </xf>
    <xf numFmtId="0" fontId="6" fillId="13" borderId="15" xfId="0" applyFont="1" applyFill="1" applyBorder="1" applyAlignment="1" applyProtection="1">
      <alignment vertical="center" wrapText="1"/>
      <protection hidden="1"/>
    </xf>
    <xf numFmtId="0" fontId="6" fillId="0" borderId="0" xfId="0" applyFont="1" applyAlignment="1" applyProtection="1">
      <alignment horizontal="center"/>
      <protection hidden="1"/>
    </xf>
    <xf numFmtId="0" fontId="0" fillId="0" borderId="2" xfId="0" applyBorder="1" applyAlignment="1" applyProtection="1">
      <alignment horizontal="center"/>
      <protection hidden="1"/>
    </xf>
    <xf numFmtId="0" fontId="40" fillId="0" borderId="0" xfId="0" applyFont="1" applyAlignment="1" applyProtection="1">
      <alignment horizontal="center"/>
      <protection hidden="1"/>
    </xf>
    <xf numFmtId="0" fontId="40" fillId="0" borderId="0" xfId="0" applyFont="1" applyProtection="1">
      <protection hidden="1"/>
    </xf>
    <xf numFmtId="4" fontId="5" fillId="2" borderId="0" xfId="0" applyNumberFormat="1" applyFont="1" applyFill="1" applyProtection="1">
      <protection hidden="1"/>
    </xf>
    <xf numFmtId="14" fontId="5" fillId="0" borderId="0" xfId="0" applyNumberFormat="1" applyFont="1" applyProtection="1">
      <protection locked="0"/>
    </xf>
    <xf numFmtId="14" fontId="0" fillId="0" borderId="0" xfId="0" applyNumberFormat="1" applyProtection="1">
      <protection locked="0"/>
    </xf>
    <xf numFmtId="0" fontId="0" fillId="0" borderId="2" xfId="0" applyBorder="1" applyAlignment="1" applyProtection="1">
      <alignment horizontal="center" wrapText="1"/>
      <protection hidden="1"/>
    </xf>
    <xf numFmtId="4" fontId="3" fillId="18" borderId="5" xfId="0" applyNumberFormat="1" applyFont="1" applyFill="1" applyBorder="1" applyProtection="1">
      <protection hidden="1"/>
    </xf>
    <xf numFmtId="4" fontId="3" fillId="19" borderId="5" xfId="0" applyNumberFormat="1" applyFont="1" applyFill="1" applyBorder="1" applyProtection="1">
      <protection hidden="1"/>
    </xf>
    <xf numFmtId="4" fontId="3" fillId="7" borderId="5" xfId="0" applyNumberFormat="1" applyFont="1" applyFill="1" applyBorder="1" applyProtection="1">
      <protection hidden="1"/>
    </xf>
    <xf numFmtId="4" fontId="3" fillId="5" borderId="5" xfId="0" applyNumberFormat="1" applyFont="1" applyFill="1" applyBorder="1" applyProtection="1">
      <protection hidden="1"/>
    </xf>
    <xf numFmtId="4" fontId="3" fillId="20" borderId="5" xfId="0" applyNumberFormat="1" applyFont="1" applyFill="1" applyBorder="1" applyProtection="1">
      <protection hidden="1"/>
    </xf>
    <xf numFmtId="4" fontId="3" fillId="17" borderId="5" xfId="0" applyNumberFormat="1" applyFont="1" applyFill="1" applyBorder="1" applyProtection="1">
      <protection hidden="1"/>
    </xf>
    <xf numFmtId="0" fontId="1" fillId="0" borderId="2" xfId="0" applyFont="1" applyBorder="1" applyAlignment="1" applyProtection="1">
      <alignment horizontal="center" vertical="center" wrapText="1"/>
      <protection hidden="1"/>
    </xf>
    <xf numFmtId="0" fontId="1" fillId="12" borderId="6" xfId="0" applyFont="1" applyFill="1" applyBorder="1" applyAlignment="1" applyProtection="1">
      <alignment horizontal="left"/>
      <protection hidden="1"/>
    </xf>
    <xf numFmtId="4" fontId="0" fillId="0" borderId="0" xfId="0" applyNumberFormat="1"/>
    <xf numFmtId="0" fontId="0" fillId="11" borderId="0" xfId="0" applyFill="1" applyAlignment="1" applyProtection="1">
      <alignment horizontal="center"/>
      <protection locked="0"/>
    </xf>
    <xf numFmtId="0" fontId="19" fillId="23" borderId="0" xfId="0" applyFont="1" applyFill="1" applyAlignment="1" applyProtection="1">
      <alignment horizontal="center"/>
      <protection hidden="1"/>
    </xf>
    <xf numFmtId="0" fontId="19" fillId="21" borderId="0" xfId="0" applyFont="1" applyFill="1" applyAlignment="1" applyProtection="1">
      <alignment horizontal="center"/>
      <protection hidden="1"/>
    </xf>
    <xf numFmtId="0" fontId="9" fillId="23" borderId="0" xfId="1" applyFill="1" applyBorder="1" applyAlignment="1" applyProtection="1"/>
    <xf numFmtId="0" fontId="0" fillId="5" borderId="35" xfId="0" applyFill="1" applyBorder="1" applyProtection="1">
      <protection hidden="1"/>
    </xf>
    <xf numFmtId="0" fontId="0" fillId="5" borderId="39" xfId="0" applyFill="1" applyBorder="1" applyProtection="1">
      <protection hidden="1"/>
    </xf>
    <xf numFmtId="0" fontId="0" fillId="5" borderId="40" xfId="0" applyFill="1" applyBorder="1" applyProtection="1">
      <protection hidden="1"/>
    </xf>
    <xf numFmtId="0" fontId="0" fillId="5" borderId="41" xfId="0" applyFill="1" applyBorder="1" applyProtection="1">
      <protection hidden="1"/>
    </xf>
    <xf numFmtId="0" fontId="0" fillId="5" borderId="42" xfId="0" applyFill="1" applyBorder="1" applyProtection="1">
      <protection hidden="1"/>
    </xf>
    <xf numFmtId="0" fontId="0" fillId="23" borderId="43" xfId="0" applyFill="1" applyBorder="1" applyProtection="1">
      <protection hidden="1"/>
    </xf>
    <xf numFmtId="0" fontId="0" fillId="11" borderId="43" xfId="0" applyFill="1" applyBorder="1" applyAlignment="1" applyProtection="1">
      <alignment horizontal="center"/>
      <protection locked="0"/>
    </xf>
    <xf numFmtId="0" fontId="0" fillId="5" borderId="44" xfId="0" applyFill="1" applyBorder="1" applyProtection="1">
      <protection hidden="1"/>
    </xf>
    <xf numFmtId="0" fontId="3" fillId="5" borderId="0" xfId="0" applyFont="1" applyFill="1" applyAlignment="1" applyProtection="1">
      <alignment horizontal="center"/>
      <protection hidden="1"/>
    </xf>
    <xf numFmtId="0" fontId="0" fillId="5" borderId="43" xfId="0" applyFill="1" applyBorder="1" applyProtection="1">
      <protection hidden="1"/>
    </xf>
    <xf numFmtId="0" fontId="0" fillId="5" borderId="45" xfId="0" applyFill="1" applyBorder="1" applyProtection="1">
      <protection hidden="1"/>
    </xf>
    <xf numFmtId="0" fontId="1" fillId="23" borderId="0" xfId="0" applyFont="1" applyFill="1" applyAlignment="1" applyProtection="1">
      <alignment horizontal="center"/>
      <protection hidden="1"/>
    </xf>
    <xf numFmtId="0" fontId="1" fillId="23" borderId="43" xfId="0" applyFont="1" applyFill="1" applyBorder="1" applyAlignment="1" applyProtection="1">
      <alignment horizontal="center"/>
      <protection hidden="1"/>
    </xf>
    <xf numFmtId="0" fontId="0" fillId="5" borderId="16" xfId="0" applyFill="1" applyBorder="1" applyProtection="1">
      <protection hidden="1"/>
    </xf>
    <xf numFmtId="0" fontId="0" fillId="5" borderId="25" xfId="0" applyFill="1" applyBorder="1" applyProtection="1">
      <protection hidden="1"/>
    </xf>
    <xf numFmtId="0" fontId="26" fillId="5" borderId="16" xfId="0" applyFont="1" applyFill="1" applyBorder="1" applyAlignment="1" applyProtection="1">
      <alignment horizontal="center"/>
      <protection hidden="1"/>
    </xf>
    <xf numFmtId="0" fontId="26" fillId="5" borderId="25" xfId="0" applyFont="1" applyFill="1" applyBorder="1" applyAlignment="1" applyProtection="1">
      <alignment horizontal="center"/>
      <protection hidden="1"/>
    </xf>
    <xf numFmtId="0" fontId="0" fillId="11" borderId="25" xfId="0" applyFill="1" applyBorder="1" applyAlignment="1" applyProtection="1">
      <alignment horizontal="center"/>
      <protection hidden="1"/>
    </xf>
    <xf numFmtId="0" fontId="0" fillId="5" borderId="8" xfId="0" applyFill="1" applyBorder="1" applyProtection="1">
      <protection hidden="1"/>
    </xf>
    <xf numFmtId="0" fontId="0" fillId="11" borderId="15" xfId="0" applyFill="1" applyBorder="1" applyAlignment="1" applyProtection="1">
      <alignment horizontal="center"/>
      <protection locked="0"/>
    </xf>
    <xf numFmtId="0" fontId="0" fillId="5" borderId="15" xfId="0" applyFill="1" applyBorder="1" applyProtection="1">
      <protection hidden="1"/>
    </xf>
    <xf numFmtId="0" fontId="0" fillId="23" borderId="22" xfId="0" applyFill="1" applyBorder="1" applyProtection="1">
      <protection hidden="1"/>
    </xf>
    <xf numFmtId="0" fontId="19" fillId="23" borderId="23" xfId="0" applyFont="1" applyFill="1" applyBorder="1" applyAlignment="1" applyProtection="1">
      <alignment horizontal="center"/>
      <protection hidden="1"/>
    </xf>
    <xf numFmtId="0" fontId="0" fillId="5" borderId="23" xfId="0" applyFill="1" applyBorder="1" applyProtection="1">
      <protection hidden="1"/>
    </xf>
    <xf numFmtId="0" fontId="0" fillId="5" borderId="24" xfId="0" applyFill="1" applyBorder="1" applyProtection="1">
      <protection hidden="1"/>
    </xf>
    <xf numFmtId="0" fontId="0" fillId="23" borderId="16" xfId="0" applyFill="1" applyBorder="1" applyProtection="1">
      <protection hidden="1"/>
    </xf>
    <xf numFmtId="0" fontId="26" fillId="24" borderId="16" xfId="0" applyFont="1" applyFill="1" applyBorder="1" applyAlignment="1" applyProtection="1">
      <alignment horizontal="center"/>
      <protection hidden="1"/>
    </xf>
    <xf numFmtId="0" fontId="0" fillId="23" borderId="8" xfId="0" applyFill="1" applyBorder="1" applyProtection="1">
      <protection hidden="1"/>
    </xf>
    <xf numFmtId="0" fontId="0" fillId="23" borderId="15" xfId="0" applyFill="1" applyBorder="1" applyProtection="1">
      <protection hidden="1"/>
    </xf>
    <xf numFmtId="0" fontId="0" fillId="5" borderId="26" xfId="0" applyFill="1" applyBorder="1" applyProtection="1">
      <protection hidden="1"/>
    </xf>
    <xf numFmtId="4" fontId="3" fillId="15" borderId="6" xfId="0" applyNumberFormat="1" applyFont="1" applyFill="1" applyBorder="1" applyProtection="1">
      <protection hidden="1"/>
    </xf>
    <xf numFmtId="4" fontId="1" fillId="15" borderId="2" xfId="0" applyNumberFormat="1" applyFont="1" applyFill="1" applyBorder="1" applyProtection="1">
      <protection hidden="1"/>
    </xf>
    <xf numFmtId="0" fontId="26" fillId="13" borderId="0" xfId="0" applyFont="1" applyFill="1" applyAlignment="1" applyProtection="1">
      <alignment horizontal="center"/>
      <protection hidden="1"/>
    </xf>
    <xf numFmtId="4" fontId="19" fillId="12" borderId="0" xfId="0" applyNumberFormat="1" applyFont="1" applyFill="1" applyAlignment="1" applyProtection="1">
      <alignment horizontal="center"/>
      <protection hidden="1"/>
    </xf>
    <xf numFmtId="0" fontId="25" fillId="12" borderId="0" xfId="0" applyFont="1" applyFill="1" applyAlignment="1" applyProtection="1">
      <alignment horizontal="center"/>
      <protection hidden="1"/>
    </xf>
    <xf numFmtId="0" fontId="25" fillId="12" borderId="0" xfId="0" applyFont="1" applyFill="1" applyProtection="1">
      <protection hidden="1"/>
    </xf>
    <xf numFmtId="10" fontId="19" fillId="12" borderId="0" xfId="2" applyNumberFormat="1" applyFont="1" applyFill="1" applyAlignment="1" applyProtection="1">
      <alignment horizontal="center"/>
      <protection hidden="1"/>
    </xf>
    <xf numFmtId="0" fontId="41" fillId="11" borderId="2" xfId="0" applyFont="1" applyFill="1" applyBorder="1" applyAlignment="1" applyProtection="1">
      <alignment horizontal="left" vertical="center" wrapText="1"/>
      <protection hidden="1"/>
    </xf>
    <xf numFmtId="0" fontId="0" fillId="48" borderId="0" xfId="0" applyFill="1" applyProtection="1">
      <protection hidden="1"/>
    </xf>
    <xf numFmtId="0" fontId="0" fillId="15" borderId="46" xfId="0" applyFill="1" applyBorder="1" applyProtection="1">
      <protection hidden="1"/>
    </xf>
    <xf numFmtId="0" fontId="0" fillId="42" borderId="46" xfId="0" applyFill="1" applyBorder="1" applyProtection="1">
      <protection hidden="1"/>
    </xf>
    <xf numFmtId="0" fontId="0" fillId="49" borderId="0" xfId="0" applyFill="1" applyProtection="1">
      <protection hidden="1"/>
    </xf>
    <xf numFmtId="0" fontId="0" fillId="5" borderId="46" xfId="0" applyFill="1" applyBorder="1" applyProtection="1">
      <protection hidden="1"/>
    </xf>
    <xf numFmtId="0" fontId="42" fillId="46" borderId="47" xfId="0" applyFont="1" applyFill="1" applyBorder="1" applyAlignment="1" applyProtection="1">
      <alignment horizontal="left"/>
      <protection hidden="1"/>
    </xf>
    <xf numFmtId="0" fontId="5" fillId="2" borderId="46" xfId="0" applyFont="1" applyFill="1" applyBorder="1" applyAlignment="1" applyProtection="1">
      <alignment horizontal="center"/>
      <protection hidden="1"/>
    </xf>
    <xf numFmtId="4" fontId="14" fillId="11" borderId="46" xfId="0" applyNumberFormat="1" applyFont="1" applyFill="1" applyBorder="1" applyAlignment="1" applyProtection="1">
      <alignment horizontal="center" vertical="top"/>
      <protection hidden="1"/>
    </xf>
    <xf numFmtId="4" fontId="14" fillId="11" borderId="46" xfId="0" applyNumberFormat="1" applyFont="1" applyFill="1" applyBorder="1" applyAlignment="1" applyProtection="1">
      <alignment horizontal="center" vertical="top" wrapText="1"/>
      <protection hidden="1"/>
    </xf>
    <xf numFmtId="4" fontId="30" fillId="11" borderId="46" xfId="0" applyNumberFormat="1" applyFont="1" applyFill="1" applyBorder="1" applyAlignment="1" applyProtection="1">
      <alignment horizontal="center" vertical="top" wrapText="1"/>
      <protection hidden="1"/>
    </xf>
    <xf numFmtId="0" fontId="5" fillId="0" borderId="0" xfId="0" applyFont="1" applyAlignment="1" applyProtection="1">
      <alignment horizontal="right"/>
      <protection locked="0"/>
    </xf>
    <xf numFmtId="0" fontId="5" fillId="2" borderId="46" xfId="0" applyFont="1" applyFill="1" applyBorder="1" applyAlignment="1" applyProtection="1">
      <alignment horizontal="center" vertical="center"/>
      <protection hidden="1"/>
    </xf>
    <xf numFmtId="0" fontId="41" fillId="11" borderId="46" xfId="0" applyFont="1" applyFill="1" applyBorder="1" applyAlignment="1" applyProtection="1">
      <alignment horizontal="center" vertical="center" wrapText="1"/>
      <protection hidden="1"/>
    </xf>
    <xf numFmtId="0" fontId="14" fillId="34" borderId="46" xfId="0" applyFont="1" applyFill="1" applyBorder="1" applyAlignment="1" applyProtection="1">
      <alignment horizontal="center" vertical="top" wrapText="1"/>
      <protection hidden="1"/>
    </xf>
    <xf numFmtId="0" fontId="45" fillId="50" borderId="46" xfId="0" applyFont="1" applyFill="1" applyBorder="1" applyAlignment="1" applyProtection="1">
      <alignment horizontal="center"/>
      <protection hidden="1"/>
    </xf>
    <xf numFmtId="0" fontId="40" fillId="0" borderId="46" xfId="0" applyFont="1" applyBorder="1" applyAlignment="1" applyProtection="1">
      <alignment horizontal="center"/>
      <protection hidden="1"/>
    </xf>
    <xf numFmtId="0" fontId="42" fillId="41" borderId="47" xfId="0" applyFont="1" applyFill="1" applyBorder="1" applyProtection="1">
      <protection hidden="1"/>
    </xf>
    <xf numFmtId="8" fontId="0" fillId="10" borderId="46" xfId="0" applyNumberFormat="1" applyFill="1" applyBorder="1" applyAlignment="1" applyProtection="1">
      <alignment horizontal="right"/>
      <protection hidden="1"/>
    </xf>
    <xf numFmtId="0" fontId="29" fillId="27" borderId="46" xfId="0" applyFont="1" applyFill="1" applyBorder="1" applyAlignment="1" applyProtection="1">
      <alignment horizontal="left" vertical="center" wrapText="1"/>
      <protection hidden="1"/>
    </xf>
    <xf numFmtId="0" fontId="29" fillId="28" borderId="46" xfId="0" applyFont="1" applyFill="1" applyBorder="1" applyAlignment="1" applyProtection="1">
      <alignment horizontal="left" vertical="center" wrapText="1"/>
      <protection hidden="1"/>
    </xf>
    <xf numFmtId="0" fontId="42" fillId="41" borderId="47" xfId="0" applyFont="1" applyFill="1" applyBorder="1" applyAlignment="1" applyProtection="1">
      <alignment horizontal="left"/>
      <protection hidden="1"/>
    </xf>
    <xf numFmtId="0" fontId="29" fillId="29" borderId="46" xfId="0" applyFont="1" applyFill="1" applyBorder="1" applyAlignment="1" applyProtection="1">
      <alignment horizontal="left" vertical="center" wrapText="1"/>
      <protection hidden="1"/>
    </xf>
    <xf numFmtId="0" fontId="29" fillId="30" borderId="46" xfId="0" applyFont="1" applyFill="1" applyBorder="1" applyAlignment="1" applyProtection="1">
      <alignment horizontal="left" vertical="center" wrapText="1"/>
      <protection hidden="1"/>
    </xf>
    <xf numFmtId="0" fontId="29" fillId="18" borderId="46" xfId="0" applyFont="1" applyFill="1" applyBorder="1" applyAlignment="1" applyProtection="1">
      <alignment horizontal="left" vertical="center" wrapText="1"/>
      <protection hidden="1"/>
    </xf>
    <xf numFmtId="0" fontId="30" fillId="8" borderId="46" xfId="0" applyFont="1" applyFill="1" applyBorder="1" applyAlignment="1" applyProtection="1">
      <alignment horizontal="left" vertical="center" wrapText="1"/>
      <protection hidden="1"/>
    </xf>
    <xf numFmtId="0" fontId="42" fillId="40" borderId="47" xfId="0" applyFont="1" applyFill="1" applyBorder="1" applyProtection="1">
      <protection hidden="1"/>
    </xf>
    <xf numFmtId="0" fontId="29" fillId="31" borderId="46" xfId="0" applyFont="1" applyFill="1" applyBorder="1" applyAlignment="1" applyProtection="1">
      <alignment horizontal="left" vertical="center" wrapText="1"/>
      <protection hidden="1"/>
    </xf>
    <xf numFmtId="0" fontId="29" fillId="32" borderId="46" xfId="0" applyFont="1" applyFill="1" applyBorder="1" applyAlignment="1" applyProtection="1">
      <alignment horizontal="left" vertical="center" wrapText="1"/>
      <protection hidden="1"/>
    </xf>
    <xf numFmtId="0" fontId="29" fillId="33" borderId="46" xfId="0" applyFont="1" applyFill="1" applyBorder="1" applyAlignment="1" applyProtection="1">
      <alignment horizontal="left" vertical="center" wrapText="1"/>
      <protection hidden="1"/>
    </xf>
    <xf numFmtId="0" fontId="31" fillId="35" borderId="46" xfId="0" applyFont="1" applyFill="1" applyBorder="1" applyAlignment="1" applyProtection="1">
      <alignment horizontal="left" vertical="center"/>
      <protection hidden="1"/>
    </xf>
    <xf numFmtId="0" fontId="31" fillId="35" borderId="46" xfId="0" applyFont="1" applyFill="1" applyBorder="1" applyAlignment="1" applyProtection="1">
      <alignment horizontal="left" vertical="center" wrapText="1"/>
      <protection hidden="1"/>
    </xf>
    <xf numFmtId="0" fontId="42" fillId="40" borderId="47" xfId="0" applyFont="1" applyFill="1" applyBorder="1" applyAlignment="1" applyProtection="1">
      <alignment horizontal="left"/>
      <protection hidden="1"/>
    </xf>
    <xf numFmtId="0" fontId="0" fillId="0" borderId="46" xfId="0" applyBorder="1" applyAlignment="1" applyProtection="1">
      <alignment horizontal="center"/>
      <protection hidden="1"/>
    </xf>
    <xf numFmtId="9" fontId="5" fillId="2" borderId="46" xfId="0" applyNumberFormat="1" applyFont="1" applyFill="1" applyBorder="1" applyAlignment="1" applyProtection="1">
      <alignment horizontal="center"/>
      <protection hidden="1"/>
    </xf>
    <xf numFmtId="0" fontId="42" fillId="46" borderId="47" xfId="0" applyFont="1" applyFill="1" applyBorder="1" applyProtection="1">
      <protection hidden="1"/>
    </xf>
    <xf numFmtId="8" fontId="0" fillId="15" borderId="46" xfId="0" applyNumberFormat="1" applyFill="1" applyBorder="1" applyAlignment="1" applyProtection="1">
      <alignment horizontal="right"/>
      <protection hidden="1"/>
    </xf>
    <xf numFmtId="0" fontId="0" fillId="0" borderId="46" xfId="0" applyBorder="1" applyProtection="1">
      <protection hidden="1"/>
    </xf>
    <xf numFmtId="0" fontId="0" fillId="10" borderId="46" xfId="0" applyFill="1" applyBorder="1" applyProtection="1">
      <protection hidden="1"/>
    </xf>
    <xf numFmtId="3" fontId="0" fillId="0" borderId="46" xfId="0" applyNumberFormat="1" applyBorder="1" applyAlignment="1" applyProtection="1">
      <alignment horizontal="center"/>
      <protection hidden="1"/>
    </xf>
    <xf numFmtId="10" fontId="6" fillId="11" borderId="46" xfId="0" applyNumberFormat="1" applyFont="1" applyFill="1" applyBorder="1" applyAlignment="1" applyProtection="1">
      <alignment horizontal="center"/>
      <protection hidden="1"/>
    </xf>
    <xf numFmtId="2" fontId="5" fillId="0" borderId="0" xfId="2" applyNumberFormat="1" applyFont="1" applyAlignment="1" applyProtection="1">
      <alignment horizontal="center"/>
      <protection hidden="1"/>
    </xf>
    <xf numFmtId="4" fontId="5" fillId="15" borderId="0" xfId="0" applyNumberFormat="1" applyFont="1" applyFill="1" applyAlignment="1" applyProtection="1">
      <alignment horizontal="center"/>
      <protection hidden="1"/>
    </xf>
    <xf numFmtId="4" fontId="5" fillId="0" borderId="0" xfId="0" applyNumberFormat="1" applyFont="1" applyProtection="1">
      <protection locked="0"/>
    </xf>
    <xf numFmtId="4" fontId="1" fillId="15" borderId="2" xfId="0" applyNumberFormat="1" applyFont="1" applyFill="1" applyBorder="1" applyAlignment="1" applyProtection="1">
      <alignment horizontal="left"/>
      <protection hidden="1"/>
    </xf>
    <xf numFmtId="0" fontId="0" fillId="11" borderId="0" xfId="0" applyFill="1" applyAlignment="1" applyProtection="1">
      <alignment horizontal="left"/>
      <protection hidden="1"/>
    </xf>
    <xf numFmtId="4" fontId="14" fillId="42" borderId="46" xfId="0" applyNumberFormat="1" applyFont="1" applyFill="1" applyBorder="1" applyAlignment="1" applyProtection="1">
      <alignment horizontal="center" vertical="top"/>
      <protection hidden="1"/>
    </xf>
    <xf numFmtId="4" fontId="14" fillId="15" borderId="46" xfId="0" applyNumberFormat="1" applyFont="1" applyFill="1" applyBorder="1" applyAlignment="1" applyProtection="1">
      <alignment horizontal="center" vertical="top"/>
      <protection hidden="1"/>
    </xf>
    <xf numFmtId="0" fontId="5" fillId="2" borderId="46" xfId="0" applyFont="1" applyFill="1" applyBorder="1" applyProtection="1">
      <protection hidden="1"/>
    </xf>
    <xf numFmtId="4" fontId="5" fillId="2" borderId="46" xfId="0" applyNumberFormat="1" applyFont="1" applyFill="1" applyBorder="1" applyProtection="1">
      <protection hidden="1"/>
    </xf>
    <xf numFmtId="3" fontId="0" fillId="11" borderId="2" xfId="0" applyNumberFormat="1" applyFill="1" applyBorder="1" applyAlignment="1" applyProtection="1">
      <alignment horizontal="center"/>
      <protection locked="0"/>
    </xf>
    <xf numFmtId="165" fontId="19" fillId="5" borderId="46" xfId="0" applyNumberFormat="1" applyFont="1" applyFill="1" applyBorder="1" applyAlignment="1" applyProtection="1">
      <alignment horizontal="center" vertical="center"/>
      <protection hidden="1"/>
    </xf>
    <xf numFmtId="0" fontId="2" fillId="15" borderId="2" xfId="0" applyFont="1" applyFill="1" applyBorder="1" applyAlignment="1" applyProtection="1">
      <alignment vertical="center"/>
      <protection hidden="1"/>
    </xf>
    <xf numFmtId="0" fontId="2" fillId="15" borderId="2" xfId="0" applyFont="1" applyFill="1" applyBorder="1" applyAlignment="1" applyProtection="1">
      <alignment horizontal="center" vertical="center"/>
      <protection hidden="1"/>
    </xf>
    <xf numFmtId="0" fontId="5" fillId="0" borderId="35" xfId="0" applyFont="1" applyBorder="1" applyProtection="1">
      <protection hidden="1"/>
    </xf>
    <xf numFmtId="0" fontId="5" fillId="3" borderId="3"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0" borderId="40" xfId="0" applyFont="1" applyBorder="1" applyProtection="1">
      <protection hidden="1"/>
    </xf>
    <xf numFmtId="3" fontId="5" fillId="0" borderId="46" xfId="0" applyNumberFormat="1" applyFont="1" applyBorder="1" applyAlignment="1" applyProtection="1">
      <alignment horizontal="center"/>
      <protection locked="0"/>
    </xf>
    <xf numFmtId="0" fontId="5" fillId="3" borderId="46" xfId="0" applyFont="1" applyFill="1" applyBorder="1" applyAlignment="1" applyProtection="1">
      <alignment horizontal="center" vertical="center"/>
      <protection hidden="1"/>
    </xf>
    <xf numFmtId="0" fontId="5" fillId="3" borderId="13" xfId="0" applyFont="1" applyFill="1" applyBorder="1" applyAlignment="1" applyProtection="1">
      <alignment horizontal="center" vertical="center"/>
      <protection hidden="1"/>
    </xf>
    <xf numFmtId="0" fontId="5" fillId="0" borderId="42" xfId="0" applyFont="1" applyBorder="1" applyProtection="1">
      <protection hidden="1"/>
    </xf>
    <xf numFmtId="3" fontId="5" fillId="3" borderId="19" xfId="0" applyNumberFormat="1" applyFont="1" applyFill="1" applyBorder="1" applyAlignment="1" applyProtection="1">
      <alignment horizontal="center" vertical="center"/>
      <protection hidden="1"/>
    </xf>
    <xf numFmtId="0" fontId="5" fillId="0" borderId="46" xfId="0" applyFont="1" applyBorder="1" applyAlignment="1" applyProtection="1">
      <alignment horizontal="right"/>
      <protection locked="0"/>
    </xf>
    <xf numFmtId="4" fontId="5" fillId="2" borderId="46" xfId="0" applyNumberFormat="1" applyFont="1" applyFill="1" applyBorder="1" applyAlignment="1" applyProtection="1">
      <alignment horizontal="center" vertical="center"/>
      <protection hidden="1"/>
    </xf>
    <xf numFmtId="14" fontId="3" fillId="15" borderId="46" xfId="0" applyNumberFormat="1" applyFont="1" applyFill="1" applyBorder="1" applyAlignment="1" applyProtection="1">
      <alignment horizontal="center"/>
      <protection hidden="1"/>
    </xf>
    <xf numFmtId="0" fontId="44" fillId="43" borderId="0" xfId="0" applyFont="1" applyFill="1" applyAlignment="1" applyProtection="1">
      <alignment horizontal="center"/>
      <protection hidden="1"/>
    </xf>
    <xf numFmtId="0" fontId="9" fillId="23" borderId="0" xfId="1" applyFill="1" applyBorder="1" applyAlignment="1" applyProtection="1">
      <alignment horizontal="left"/>
    </xf>
    <xf numFmtId="0" fontId="9" fillId="23" borderId="43" xfId="1" applyFill="1" applyBorder="1" applyAlignment="1" applyProtection="1">
      <alignment horizontal="left"/>
    </xf>
    <xf numFmtId="0" fontId="39" fillId="11" borderId="0" xfId="0" applyFont="1" applyFill="1" applyAlignment="1" applyProtection="1">
      <alignment horizontal="center"/>
      <protection hidden="1"/>
    </xf>
    <xf numFmtId="0" fontId="39" fillId="11" borderId="25" xfId="0" applyFont="1" applyFill="1" applyBorder="1" applyAlignment="1" applyProtection="1">
      <alignment horizontal="center"/>
      <protection hidden="1"/>
    </xf>
    <xf numFmtId="0" fontId="20" fillId="15" borderId="22" xfId="0" applyFont="1" applyFill="1" applyBorder="1" applyAlignment="1" applyProtection="1">
      <alignment horizontal="center" vertical="center" wrapText="1"/>
      <protection hidden="1"/>
    </xf>
    <xf numFmtId="0" fontId="20" fillId="15" borderId="23" xfId="0" applyFont="1" applyFill="1" applyBorder="1" applyAlignment="1" applyProtection="1">
      <alignment horizontal="center" vertical="center" wrapText="1"/>
      <protection hidden="1"/>
    </xf>
    <xf numFmtId="0" fontId="20" fillId="15" borderId="24" xfId="0" applyFont="1" applyFill="1" applyBorder="1" applyAlignment="1" applyProtection="1">
      <alignment horizontal="center" vertical="center" wrapText="1"/>
      <protection hidden="1"/>
    </xf>
    <xf numFmtId="0" fontId="20" fillId="15" borderId="16" xfId="0" applyFont="1" applyFill="1" applyBorder="1" applyAlignment="1" applyProtection="1">
      <alignment horizontal="center" vertical="center" wrapText="1"/>
      <protection hidden="1"/>
    </xf>
    <xf numFmtId="0" fontId="20" fillId="15" borderId="0" xfId="0" applyFont="1" applyFill="1" applyAlignment="1" applyProtection="1">
      <alignment horizontal="center" vertical="center" wrapText="1"/>
      <protection hidden="1"/>
    </xf>
    <xf numFmtId="0" fontId="20" fillId="15" borderId="25" xfId="0" applyFont="1" applyFill="1" applyBorder="1" applyAlignment="1" applyProtection="1">
      <alignment horizontal="center" vertical="center" wrapText="1"/>
      <protection hidden="1"/>
    </xf>
    <xf numFmtId="0" fontId="20" fillId="15" borderId="8" xfId="0" applyFont="1" applyFill="1" applyBorder="1" applyAlignment="1" applyProtection="1">
      <alignment horizontal="center" vertical="center" wrapText="1"/>
      <protection hidden="1"/>
    </xf>
    <xf numFmtId="0" fontId="20" fillId="15" borderId="15" xfId="0" applyFont="1" applyFill="1" applyBorder="1" applyAlignment="1" applyProtection="1">
      <alignment horizontal="center" vertical="center" wrapText="1"/>
      <protection hidden="1"/>
    </xf>
    <xf numFmtId="0" fontId="20" fillId="15" borderId="26" xfId="0" applyFont="1" applyFill="1" applyBorder="1" applyAlignment="1" applyProtection="1">
      <alignment horizontal="center" vertical="center" wrapText="1"/>
      <protection hidden="1"/>
    </xf>
    <xf numFmtId="0" fontId="39" fillId="11" borderId="15" xfId="0" applyFont="1" applyFill="1" applyBorder="1" applyAlignment="1" applyProtection="1">
      <alignment horizontal="center" vertical="center"/>
      <protection hidden="1"/>
    </xf>
    <xf numFmtId="0" fontId="39" fillId="11" borderId="26" xfId="0" applyFont="1" applyFill="1" applyBorder="1" applyAlignment="1" applyProtection="1">
      <alignment horizontal="center" vertical="center"/>
      <protection hidden="1"/>
    </xf>
    <xf numFmtId="0" fontId="7" fillId="10" borderId="0" xfId="0" applyFont="1" applyFill="1" applyAlignment="1" applyProtection="1">
      <alignment horizontal="center" vertical="center"/>
      <protection hidden="1"/>
    </xf>
    <xf numFmtId="0" fontId="1" fillId="23" borderId="43" xfId="0" applyFont="1" applyFill="1" applyBorder="1" applyAlignment="1" applyProtection="1">
      <alignment horizontal="left" vertical="center" wrapText="1"/>
      <protection hidden="1"/>
    </xf>
    <xf numFmtId="0" fontId="1" fillId="23" borderId="0" xfId="0" applyFont="1" applyFill="1" applyAlignment="1" applyProtection="1">
      <alignment horizontal="left" vertical="center" wrapText="1"/>
      <protection hidden="1"/>
    </xf>
    <xf numFmtId="165" fontId="3" fillId="47" borderId="0" xfId="0" applyNumberFormat="1" applyFont="1" applyFill="1" applyAlignment="1" applyProtection="1">
      <alignment horizontal="left"/>
      <protection hidden="1"/>
    </xf>
    <xf numFmtId="0" fontId="7" fillId="25" borderId="2" xfId="0" applyFont="1" applyFill="1" applyBorder="1" applyAlignment="1" applyProtection="1">
      <alignment horizontal="center"/>
      <protection hidden="1"/>
    </xf>
    <xf numFmtId="0" fontId="27" fillId="11" borderId="0" xfId="0" applyFont="1" applyFill="1" applyAlignment="1" applyProtection="1">
      <alignment horizontal="center"/>
      <protection hidden="1"/>
    </xf>
    <xf numFmtId="0" fontId="0" fillId="11" borderId="0" xfId="0" applyFill="1" applyAlignment="1" applyProtection="1">
      <alignment horizontal="center"/>
      <protection locked="0"/>
    </xf>
    <xf numFmtId="0" fontId="0" fillId="11" borderId="25" xfId="0" applyFill="1" applyBorder="1" applyAlignment="1" applyProtection="1">
      <alignment horizontal="center"/>
      <protection locked="0"/>
    </xf>
    <xf numFmtId="14" fontId="0" fillId="11" borderId="0" xfId="0" applyNumberFormat="1" applyFill="1" applyAlignment="1" applyProtection="1">
      <alignment horizontal="center" vertical="center"/>
      <protection locked="0"/>
    </xf>
    <xf numFmtId="0" fontId="19" fillId="23" borderId="23" xfId="0" applyFont="1" applyFill="1" applyBorder="1" applyAlignment="1" applyProtection="1">
      <alignment horizontal="center"/>
      <protection hidden="1"/>
    </xf>
    <xf numFmtId="0" fontId="7" fillId="11" borderId="47" xfId="0" applyFont="1" applyFill="1" applyBorder="1" applyAlignment="1" applyProtection="1">
      <alignment horizontal="center" vertical="center"/>
      <protection locked="0"/>
    </xf>
    <xf numFmtId="0" fontId="7" fillId="11" borderId="7" xfId="0" applyFont="1" applyFill="1" applyBorder="1" applyAlignment="1" applyProtection="1">
      <alignment horizontal="center" vertical="center"/>
      <protection locked="0"/>
    </xf>
    <xf numFmtId="0" fontId="7" fillId="11" borderId="5" xfId="0" applyFont="1" applyFill="1" applyBorder="1" applyAlignment="1" applyProtection="1">
      <alignment horizontal="center" vertical="center"/>
      <protection locked="0"/>
    </xf>
    <xf numFmtId="14" fontId="0" fillId="15" borderId="0" xfId="0" applyNumberFormat="1" applyFill="1" applyAlignment="1" applyProtection="1">
      <alignment horizontal="center"/>
      <protection hidden="1"/>
    </xf>
    <xf numFmtId="0" fontId="7" fillId="47" borderId="36" xfId="0" applyFont="1" applyFill="1" applyBorder="1" applyAlignment="1" applyProtection="1">
      <alignment horizontal="center"/>
      <protection hidden="1"/>
    </xf>
    <xf numFmtId="0" fontId="7" fillId="47" borderId="37" xfId="0" applyFont="1" applyFill="1" applyBorder="1" applyAlignment="1" applyProtection="1">
      <alignment horizontal="center"/>
      <protection hidden="1"/>
    </xf>
    <xf numFmtId="0" fontId="7" fillId="47" borderId="38" xfId="0" applyFont="1" applyFill="1" applyBorder="1" applyAlignment="1" applyProtection="1">
      <alignment horizontal="center"/>
      <protection hidden="1"/>
    </xf>
    <xf numFmtId="0" fontId="7" fillId="47" borderId="6" xfId="0" applyFont="1" applyFill="1" applyBorder="1" applyAlignment="1" applyProtection="1">
      <alignment horizontal="center"/>
      <protection hidden="1"/>
    </xf>
    <xf numFmtId="0" fontId="7" fillId="47" borderId="7" xfId="0" applyFont="1" applyFill="1" applyBorder="1" applyAlignment="1" applyProtection="1">
      <alignment horizontal="center"/>
      <protection hidden="1"/>
    </xf>
    <xf numFmtId="0" fontId="7" fillId="47" borderId="5" xfId="0" applyFont="1" applyFill="1" applyBorder="1" applyAlignment="1" applyProtection="1">
      <alignment horizontal="center"/>
      <protection hidden="1"/>
    </xf>
    <xf numFmtId="0" fontId="21" fillId="5" borderId="15" xfId="0" applyFont="1" applyFill="1" applyBorder="1" applyAlignment="1" applyProtection="1">
      <alignment horizontal="left"/>
      <protection hidden="1"/>
    </xf>
    <xf numFmtId="0" fontId="19" fillId="23" borderId="0" xfId="0" applyFont="1" applyFill="1" applyAlignment="1" applyProtection="1">
      <alignment horizontal="left"/>
      <protection hidden="1"/>
    </xf>
    <xf numFmtId="0" fontId="3" fillId="15" borderId="25" xfId="0" applyFont="1" applyFill="1" applyBorder="1" applyAlignment="1" applyProtection="1">
      <alignment horizontal="center" vertical="center" wrapText="1"/>
      <protection hidden="1"/>
    </xf>
    <xf numFmtId="0" fontId="3" fillId="15" borderId="26" xfId="0" applyFont="1" applyFill="1" applyBorder="1" applyAlignment="1" applyProtection="1">
      <alignment horizontal="center" vertical="center" wrapText="1"/>
      <protection hidden="1"/>
    </xf>
    <xf numFmtId="0" fontId="19" fillId="21" borderId="0" xfId="0" applyFont="1" applyFill="1" applyAlignment="1" applyProtection="1">
      <alignment horizontal="center"/>
      <protection hidden="1"/>
    </xf>
    <xf numFmtId="14" fontId="3" fillId="11" borderId="0" xfId="0" applyNumberFormat="1" applyFont="1" applyFill="1" applyAlignment="1" applyProtection="1">
      <alignment horizontal="center"/>
      <protection locked="0"/>
    </xf>
    <xf numFmtId="0" fontId="3" fillId="11" borderId="0" xfId="0" applyFont="1" applyFill="1" applyAlignment="1" applyProtection="1">
      <alignment horizontal="center"/>
      <protection locked="0"/>
    </xf>
    <xf numFmtId="0" fontId="9" fillId="12" borderId="23" xfId="1" applyFill="1" applyBorder="1" applyAlignment="1" applyProtection="1">
      <alignment horizontal="center"/>
    </xf>
    <xf numFmtId="0" fontId="9" fillId="12" borderId="24" xfId="1" applyFill="1" applyBorder="1" applyAlignment="1" applyProtection="1">
      <alignment horizontal="center"/>
    </xf>
    <xf numFmtId="0" fontId="3" fillId="11" borderId="46" xfId="0" applyFont="1" applyFill="1" applyBorder="1" applyAlignment="1" applyProtection="1">
      <alignment horizontal="center" vertical="center"/>
      <protection hidden="1"/>
    </xf>
    <xf numFmtId="0" fontId="7" fillId="10" borderId="0" xfId="0" applyFont="1" applyFill="1" applyAlignment="1" applyProtection="1">
      <alignment horizontal="center"/>
      <protection hidden="1"/>
    </xf>
    <xf numFmtId="0" fontId="26" fillId="10" borderId="0" xfId="0" applyFont="1" applyFill="1" applyAlignment="1" applyProtection="1">
      <alignment horizontal="center"/>
      <protection hidden="1"/>
    </xf>
    <xf numFmtId="0" fontId="27" fillId="10" borderId="0" xfId="0" applyFont="1" applyFill="1" applyAlignment="1" applyProtection="1">
      <alignment horizontal="center"/>
      <protection hidden="1"/>
    </xf>
    <xf numFmtId="0" fontId="1" fillId="11" borderId="0" xfId="0" applyFont="1" applyFill="1" applyAlignment="1" applyProtection="1">
      <alignment horizontal="center"/>
      <protection hidden="1"/>
    </xf>
    <xf numFmtId="0" fontId="32" fillId="5" borderId="0" xfId="0" applyFont="1" applyFill="1" applyAlignment="1" applyProtection="1">
      <alignment horizontal="center"/>
      <protection hidden="1"/>
    </xf>
    <xf numFmtId="14" fontId="0" fillId="11" borderId="0" xfId="0" applyNumberFormat="1" applyFill="1" applyAlignment="1" applyProtection="1">
      <alignment horizontal="center"/>
      <protection hidden="1"/>
    </xf>
    <xf numFmtId="3" fontId="0" fillId="11" borderId="0" xfId="0" applyNumberFormat="1" applyFill="1" applyAlignment="1" applyProtection="1">
      <alignment horizontal="center"/>
      <protection hidden="1"/>
    </xf>
    <xf numFmtId="3" fontId="3" fillId="11" borderId="0" xfId="0" applyNumberFormat="1" applyFont="1" applyFill="1" applyAlignment="1" applyProtection="1">
      <alignment horizontal="center"/>
      <protection hidden="1"/>
    </xf>
    <xf numFmtId="0" fontId="0" fillId="11" borderId="0" xfId="0" applyFill="1" applyAlignment="1" applyProtection="1">
      <alignment horizontal="center"/>
      <protection hidden="1"/>
    </xf>
    <xf numFmtId="0" fontId="19" fillId="5" borderId="47" xfId="0" applyFont="1" applyFill="1" applyBorder="1" applyAlignment="1" applyProtection="1">
      <alignment horizontal="center" vertical="center" wrapText="1"/>
      <protection hidden="1"/>
    </xf>
    <xf numFmtId="0" fontId="19" fillId="5" borderId="7" xfId="0" applyFont="1" applyFill="1" applyBorder="1" applyAlignment="1" applyProtection="1">
      <alignment horizontal="center" vertical="center" wrapText="1"/>
      <protection hidden="1"/>
    </xf>
    <xf numFmtId="0" fontId="19" fillId="5" borderId="5" xfId="0" applyFont="1" applyFill="1" applyBorder="1" applyAlignment="1" applyProtection="1">
      <alignment horizontal="center" vertical="center" wrapText="1"/>
      <protection hidden="1"/>
    </xf>
    <xf numFmtId="0" fontId="34" fillId="37" borderId="0" xfId="1" applyFont="1" applyFill="1" applyAlignment="1" applyProtection="1">
      <alignment horizontal="center"/>
    </xf>
    <xf numFmtId="0" fontId="33" fillId="11" borderId="0" xfId="1" applyFont="1" applyFill="1" applyAlignment="1" applyProtection="1">
      <alignment horizontal="center"/>
    </xf>
    <xf numFmtId="0" fontId="34" fillId="5" borderId="0" xfId="1" applyFont="1" applyFill="1" applyAlignment="1" applyProtection="1">
      <alignment horizontal="center"/>
      <protection hidden="1"/>
    </xf>
    <xf numFmtId="0" fontId="19" fillId="5" borderId="0" xfId="0" applyFont="1" applyFill="1" applyAlignment="1" applyProtection="1">
      <alignment horizontal="center"/>
      <protection hidden="1"/>
    </xf>
    <xf numFmtId="0" fontId="2" fillId="43" borderId="8" xfId="0" applyFont="1" applyFill="1" applyBorder="1" applyAlignment="1" applyProtection="1">
      <alignment horizontal="center" vertical="center"/>
      <protection hidden="1"/>
    </xf>
    <xf numFmtId="0" fontId="2" fillId="43" borderId="15" xfId="0" applyFont="1" applyFill="1" applyBorder="1" applyAlignment="1" applyProtection="1">
      <alignment horizontal="center" vertical="center"/>
      <protection hidden="1"/>
    </xf>
    <xf numFmtId="0" fontId="11" fillId="0" borderId="7" xfId="0" applyFont="1" applyBorder="1" applyAlignment="1" applyProtection="1">
      <alignment horizontal="center"/>
      <protection hidden="1"/>
    </xf>
    <xf numFmtId="0" fontId="16" fillId="4" borderId="6" xfId="0" applyFont="1" applyFill="1" applyBorder="1" applyAlignment="1" applyProtection="1">
      <alignment horizontal="center"/>
      <protection hidden="1"/>
    </xf>
    <xf numFmtId="0" fontId="16" fillId="4" borderId="7" xfId="0" applyFont="1" applyFill="1" applyBorder="1" applyAlignment="1" applyProtection="1">
      <alignment horizontal="center"/>
      <protection hidden="1"/>
    </xf>
    <xf numFmtId="0" fontId="6" fillId="13" borderId="0" xfId="0" applyFont="1" applyFill="1" applyAlignment="1" applyProtection="1">
      <alignment horizontal="center" vertical="center" wrapText="1"/>
      <protection hidden="1"/>
    </xf>
    <xf numFmtId="0" fontId="46" fillId="0" borderId="46" xfId="0" applyFont="1" applyBorder="1" applyAlignment="1">
      <alignment horizontal="left" vertical="center" wrapText="1"/>
    </xf>
    <xf numFmtId="4" fontId="25" fillId="11" borderId="46" xfId="0" applyNumberFormat="1" applyFont="1" applyFill="1" applyBorder="1" applyAlignment="1" applyProtection="1">
      <alignment horizontal="left" vertical="center" wrapText="1"/>
      <protection hidden="1"/>
    </xf>
    <xf numFmtId="0" fontId="25" fillId="11" borderId="46" xfId="0" applyFont="1" applyFill="1" applyBorder="1" applyAlignment="1" applyProtection="1">
      <alignment horizontal="left" vertical="center" wrapText="1"/>
      <protection hidden="1"/>
    </xf>
    <xf numFmtId="0" fontId="48" fillId="0" borderId="46" xfId="1" applyFont="1" applyBorder="1" applyAlignment="1" applyProtection="1">
      <alignment horizontal="center" vertical="center" wrapText="1"/>
    </xf>
    <xf numFmtId="0" fontId="43" fillId="12" borderId="0" xfId="0" applyFont="1" applyFill="1" applyAlignment="1" applyProtection="1">
      <alignment horizontal="center" vertical="center"/>
      <protection hidden="1"/>
    </xf>
    <xf numFmtId="0" fontId="0" fillId="0" borderId="2" xfId="0" applyBorder="1" applyAlignment="1" applyProtection="1">
      <alignment horizontal="center" wrapText="1"/>
      <protection hidden="1"/>
    </xf>
    <xf numFmtId="0" fontId="1" fillId="0" borderId="2" xfId="0" applyFont="1" applyBorder="1" applyAlignment="1" applyProtection="1">
      <alignment horizontal="center"/>
      <protection hidden="1"/>
    </xf>
    <xf numFmtId="0" fontId="3" fillId="5" borderId="2" xfId="0" applyFont="1" applyFill="1" applyBorder="1" applyAlignment="1" applyProtection="1">
      <alignment horizontal="center"/>
      <protection hidden="1"/>
    </xf>
    <xf numFmtId="0" fontId="3" fillId="20" borderId="2" xfId="0" applyFont="1" applyFill="1" applyBorder="1" applyAlignment="1" applyProtection="1">
      <alignment horizontal="center"/>
      <protection hidden="1"/>
    </xf>
    <xf numFmtId="0" fontId="3" fillId="17" borderId="2" xfId="0" applyFont="1" applyFill="1" applyBorder="1" applyAlignment="1" applyProtection="1">
      <alignment horizontal="center"/>
      <protection hidden="1"/>
    </xf>
    <xf numFmtId="0" fontId="3" fillId="18" borderId="2" xfId="0" applyFont="1" applyFill="1" applyBorder="1" applyAlignment="1" applyProtection="1">
      <alignment horizontal="center"/>
      <protection hidden="1"/>
    </xf>
    <xf numFmtId="0" fontId="3" fillId="19" borderId="2" xfId="0" applyFont="1" applyFill="1" applyBorder="1" applyAlignment="1" applyProtection="1">
      <alignment horizontal="center"/>
      <protection hidden="1"/>
    </xf>
    <xf numFmtId="0" fontId="3" fillId="7" borderId="2" xfId="0" applyFont="1" applyFill="1" applyBorder="1" applyAlignment="1" applyProtection="1">
      <alignment horizontal="center"/>
      <protection hidden="1"/>
    </xf>
    <xf numFmtId="0" fontId="43" fillId="12" borderId="0" xfId="0" applyFont="1" applyFill="1" applyAlignment="1" applyProtection="1">
      <alignment horizontal="center"/>
      <protection hidden="1"/>
    </xf>
    <xf numFmtId="0" fontId="0" fillId="0" borderId="0" xfId="0" applyAlignment="1">
      <alignment horizontal="left" wrapText="1"/>
    </xf>
    <xf numFmtId="0" fontId="4" fillId="0" borderId="0" xfId="0" applyFont="1" applyAlignment="1">
      <alignment horizontal="left" wrapText="1"/>
    </xf>
    <xf numFmtId="4" fontId="2" fillId="44" borderId="47" xfId="0" applyNumberFormat="1" applyFont="1" applyFill="1" applyBorder="1" applyAlignment="1" applyProtection="1">
      <alignment horizontal="center" vertical="center"/>
      <protection hidden="1"/>
    </xf>
    <xf numFmtId="4" fontId="2" fillId="44" borderId="5" xfId="0" applyNumberFormat="1" applyFont="1" applyFill="1" applyBorder="1" applyAlignment="1" applyProtection="1">
      <alignment horizontal="center" vertical="center"/>
      <protection hidden="1"/>
    </xf>
    <xf numFmtId="4" fontId="2" fillId="15" borderId="47" xfId="0" applyNumberFormat="1" applyFont="1" applyFill="1" applyBorder="1" applyAlignment="1" applyProtection="1">
      <alignment horizontal="center" vertical="center"/>
      <protection hidden="1"/>
    </xf>
    <xf numFmtId="4" fontId="2" fillId="15" borderId="5" xfId="0" applyNumberFormat="1" applyFont="1" applyFill="1" applyBorder="1" applyAlignment="1" applyProtection="1">
      <alignment horizontal="center" vertical="center"/>
      <protection hidden="1"/>
    </xf>
    <xf numFmtId="0" fontId="2" fillId="13" borderId="8" xfId="0" applyFont="1" applyFill="1" applyBorder="1" applyAlignment="1" applyProtection="1">
      <alignment horizontal="center" vertical="center"/>
      <protection hidden="1"/>
    </xf>
    <xf numFmtId="0" fontId="2" fillId="13" borderId="15" xfId="0" applyFont="1" applyFill="1" applyBorder="1" applyAlignment="1" applyProtection="1">
      <alignment horizontal="center" vertical="center"/>
      <protection hidden="1"/>
    </xf>
    <xf numFmtId="0" fontId="16" fillId="4" borderId="47" xfId="0" applyFont="1" applyFill="1" applyBorder="1" applyAlignment="1" applyProtection="1">
      <alignment horizontal="center"/>
      <protection hidden="1"/>
    </xf>
    <xf numFmtId="0" fontId="6" fillId="44" borderId="47" xfId="0" applyFont="1" applyFill="1" applyBorder="1" applyAlignment="1" applyProtection="1">
      <alignment horizontal="center" vertical="center" wrapText="1"/>
      <protection hidden="1"/>
    </xf>
    <xf numFmtId="0" fontId="6" fillId="44" borderId="5" xfId="0" applyFont="1" applyFill="1" applyBorder="1" applyAlignment="1" applyProtection="1">
      <alignment horizontal="center" vertical="center" wrapText="1"/>
      <protection hidden="1"/>
    </xf>
    <xf numFmtId="0" fontId="39" fillId="15" borderId="47" xfId="0" applyFont="1" applyFill="1" applyBorder="1" applyAlignment="1" applyProtection="1">
      <alignment horizontal="center" vertical="center"/>
      <protection hidden="1"/>
    </xf>
    <xf numFmtId="0" fontId="39" fillId="15" borderId="7" xfId="0" applyFont="1" applyFill="1" applyBorder="1" applyAlignment="1" applyProtection="1">
      <alignment horizontal="center" vertical="center"/>
      <protection hidden="1"/>
    </xf>
    <xf numFmtId="0" fontId="39" fillId="15" borderId="5" xfId="0" applyFont="1" applyFill="1" applyBorder="1" applyAlignment="1" applyProtection="1">
      <alignment horizontal="center" vertical="center"/>
      <protection hidden="1"/>
    </xf>
    <xf numFmtId="0" fontId="6" fillId="44" borderId="6" xfId="0" applyFont="1" applyFill="1" applyBorder="1" applyAlignment="1" applyProtection="1">
      <alignment horizontal="center" vertical="center" wrapText="1"/>
      <protection hidden="1"/>
    </xf>
    <xf numFmtId="4" fontId="2" fillId="44" borderId="6" xfId="0" applyNumberFormat="1" applyFont="1" applyFill="1" applyBorder="1" applyAlignment="1" applyProtection="1">
      <alignment horizontal="center" vertical="center"/>
      <protection hidden="1"/>
    </xf>
    <xf numFmtId="0" fontId="37" fillId="0" borderId="23" xfId="0" applyFont="1" applyBorder="1" applyAlignment="1" applyProtection="1">
      <alignment horizontal="center" vertical="center"/>
      <protection hidden="1"/>
    </xf>
    <xf numFmtId="0" fontId="37" fillId="0" borderId="24" xfId="0" applyFont="1" applyBorder="1" applyAlignment="1" applyProtection="1">
      <alignment horizontal="center" vertical="center"/>
      <protection hidden="1"/>
    </xf>
    <xf numFmtId="165" fontId="12" fillId="22" borderId="11" xfId="0" applyNumberFormat="1" applyFont="1" applyFill="1" applyBorder="1" applyAlignment="1">
      <alignment horizontal="center"/>
    </xf>
    <xf numFmtId="165" fontId="12" fillId="22" borderId="3" xfId="0" applyNumberFormat="1" applyFont="1" applyFill="1" applyBorder="1" applyAlignment="1">
      <alignment horizontal="center"/>
    </xf>
    <xf numFmtId="165" fontId="12" fillId="22" borderId="4" xfId="0" applyNumberFormat="1" applyFont="1" applyFill="1" applyBorder="1" applyAlignment="1">
      <alignment horizontal="center"/>
    </xf>
    <xf numFmtId="165" fontId="22" fillId="22" borderId="9" xfId="0" applyNumberFormat="1" applyFont="1" applyFill="1" applyBorder="1" applyAlignment="1">
      <alignment horizontal="center"/>
    </xf>
    <xf numFmtId="165" fontId="22" fillId="22" borderId="20" xfId="0" applyNumberFormat="1" applyFont="1" applyFill="1" applyBorder="1" applyAlignment="1">
      <alignment horizontal="center"/>
    </xf>
    <xf numFmtId="165" fontId="12" fillId="22" borderId="9" xfId="0" applyNumberFormat="1" applyFont="1" applyFill="1" applyBorder="1" applyAlignment="1">
      <alignment horizontal="center"/>
    </xf>
    <xf numFmtId="165" fontId="12" fillId="22" borderId="20" xfId="0" applyNumberFormat="1" applyFont="1" applyFill="1" applyBorder="1" applyAlignment="1">
      <alignment horizontal="center"/>
    </xf>
    <xf numFmtId="4" fontId="0" fillId="16" borderId="2" xfId="0" applyNumberFormat="1" applyFill="1" applyBorder="1" applyAlignment="1" applyProtection="1">
      <alignment horizontal="right" vertical="center"/>
      <protection hidden="1"/>
    </xf>
    <xf numFmtId="165" fontId="3" fillId="14" borderId="2" xfId="0" applyNumberFormat="1" applyFont="1" applyFill="1" applyBorder="1" applyProtection="1">
      <protection hidden="1"/>
    </xf>
    <xf numFmtId="0" fontId="2" fillId="9" borderId="16" xfId="0" applyFont="1" applyFill="1" applyBorder="1" applyAlignment="1" applyProtection="1">
      <alignment horizontal="center"/>
      <protection hidden="1"/>
    </xf>
    <xf numFmtId="0" fontId="2" fillId="9" borderId="0" xfId="0" applyFont="1" applyFill="1" applyAlignment="1" applyProtection="1">
      <alignment horizontal="center"/>
      <protection hidden="1"/>
    </xf>
    <xf numFmtId="0" fontId="17" fillId="15" borderId="2" xfId="0" applyFont="1" applyFill="1" applyBorder="1" applyAlignment="1" applyProtection="1">
      <alignment horizontal="center"/>
      <protection hidden="1"/>
    </xf>
    <xf numFmtId="4" fontId="14" fillId="10" borderId="46" xfId="0" applyNumberFormat="1" applyFont="1" applyFill="1" applyBorder="1" applyAlignment="1" applyProtection="1">
      <alignment horizontal="center" vertical="top"/>
      <protection hidden="1"/>
    </xf>
  </cellXfs>
  <cellStyles count="3">
    <cellStyle name="Hipervínculo" xfId="1" builtinId="8"/>
    <cellStyle name="Normal" xfId="0" builtinId="0"/>
    <cellStyle name="Porcentaje" xfId="2" builtinId="5"/>
  </cellStyles>
  <dxfs count="0"/>
  <tableStyles count="0" defaultTableStyle="TableStyleMedium9" defaultPivotStyle="PivotStyleLight16"/>
  <colors>
    <mruColors>
      <color rgb="FFCFAFE7"/>
      <color rgb="FFABDB77"/>
      <color rgb="FF0000FF"/>
      <color rgb="FFF8B074"/>
      <color rgb="FFFFFFCC"/>
      <color rgb="FFEBF2DE"/>
      <color rgb="FFF47914"/>
      <color rgb="FF08E8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Tiempos de cotizaci&#243;n'!A1"/><Relationship Id="rId2" Type="http://schemas.openxmlformats.org/officeDocument/2006/relationships/hyperlink" Target="#Resultado!A1"/><Relationship Id="rId1" Type="http://schemas.openxmlformats.org/officeDocument/2006/relationships/hyperlink" Target="http://www.gobiernodecanarias.org/educacion/web/servicios/oficina_virtual_personal_docente/" TargetMode="External"/><Relationship Id="rId4" Type="http://schemas.openxmlformats.org/officeDocument/2006/relationships/hyperlink" Target="#Normativas!A1"/></Relationships>
</file>

<file path=xl/drawings/_rels/drawing2.xml.rels><?xml version="1.0" encoding="UTF-8" standalone="yes"?>
<Relationships xmlns="http://schemas.openxmlformats.org/package/2006/relationships"><Relationship Id="rId2" Type="http://schemas.openxmlformats.org/officeDocument/2006/relationships/hyperlink" Target="http://docentesdecanarias.org/dci/index.php/jubilacion-60-anos-y-30-anos-servicio" TargetMode="External"/><Relationship Id="rId1" Type="http://schemas.openxmlformats.org/officeDocument/2006/relationships/hyperlink" Target="#Datos!A1"/></Relationships>
</file>

<file path=xl/drawings/drawing1.xml><?xml version="1.0" encoding="utf-8"?>
<xdr:wsDr xmlns:xdr="http://schemas.openxmlformats.org/drawingml/2006/spreadsheetDrawing" xmlns:a="http://schemas.openxmlformats.org/drawingml/2006/main">
  <xdr:twoCellAnchor>
    <xdr:from>
      <xdr:col>8</xdr:col>
      <xdr:colOff>247650</xdr:colOff>
      <xdr:row>24</xdr:row>
      <xdr:rowOff>123825</xdr:rowOff>
    </xdr:from>
    <xdr:to>
      <xdr:col>11</xdr:col>
      <xdr:colOff>447300</xdr:colOff>
      <xdr:row>26</xdr:row>
      <xdr:rowOff>120234</xdr:rowOff>
    </xdr:to>
    <xdr:sp macro="" textlink="">
      <xdr:nvSpPr>
        <xdr:cNvPr id="10" name="Shape 23">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3371850" y="2724150"/>
          <a:ext cx="1371225" cy="225009"/>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FAC090"/>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clientData/>
  </xdr:twoCellAnchor>
  <xdr:twoCellAnchor>
    <xdr:from>
      <xdr:col>9</xdr:col>
      <xdr:colOff>466726</xdr:colOff>
      <xdr:row>60</xdr:row>
      <xdr:rowOff>66674</xdr:rowOff>
    </xdr:from>
    <xdr:to>
      <xdr:col>18</xdr:col>
      <xdr:colOff>752476</xdr:colOff>
      <xdr:row>63</xdr:row>
      <xdr:rowOff>28574</xdr:rowOff>
    </xdr:to>
    <xdr:sp macro="" textlink="">
      <xdr:nvSpPr>
        <xdr:cNvPr id="6" name="Shape 23">
          <a:extLst>
            <a:ext uri="{FF2B5EF4-FFF2-40B4-BE49-F238E27FC236}">
              <a16:creationId xmlns:a16="http://schemas.microsoft.com/office/drawing/2014/main" id="{00000000-0008-0000-0000-000006000000}"/>
            </a:ext>
          </a:extLst>
        </xdr:cNvPr>
        <xdr:cNvSpPr/>
      </xdr:nvSpPr>
      <xdr:spPr>
        <a:xfrm>
          <a:off x="3876676" y="6667499"/>
          <a:ext cx="3028950" cy="447675"/>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FAC090"/>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clientData/>
  </xdr:twoCellAnchor>
  <xdr:twoCellAnchor>
    <xdr:from>
      <xdr:col>3</xdr:col>
      <xdr:colOff>85726</xdr:colOff>
      <xdr:row>59</xdr:row>
      <xdr:rowOff>133350</xdr:rowOff>
    </xdr:from>
    <xdr:to>
      <xdr:col>7</xdr:col>
      <xdr:colOff>38100</xdr:colOff>
      <xdr:row>62</xdr:row>
      <xdr:rowOff>152400</xdr:rowOff>
    </xdr:to>
    <xdr:sp macro="" textlink="">
      <xdr:nvSpPr>
        <xdr:cNvPr id="3" name="Shape 20">
          <a:extLst>
            <a:ext uri="{FF2B5EF4-FFF2-40B4-BE49-F238E27FC236}">
              <a16:creationId xmlns:a16="http://schemas.microsoft.com/office/drawing/2014/main" id="{00000000-0008-0000-0000-000003000000}"/>
            </a:ext>
          </a:extLst>
        </xdr:cNvPr>
        <xdr:cNvSpPr/>
      </xdr:nvSpPr>
      <xdr:spPr>
        <a:xfrm>
          <a:off x="485776" y="6572250"/>
          <a:ext cx="2600324" cy="504825"/>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009900"/>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clientData/>
  </xdr:twoCellAnchor>
  <xdr:twoCellAnchor>
    <xdr:from>
      <xdr:col>3</xdr:col>
      <xdr:colOff>114300</xdr:colOff>
      <xdr:row>59</xdr:row>
      <xdr:rowOff>152401</xdr:rowOff>
    </xdr:from>
    <xdr:to>
      <xdr:col>8</xdr:col>
      <xdr:colOff>47625</xdr:colOff>
      <xdr:row>62</xdr:row>
      <xdr:rowOff>142876</xdr:rowOff>
    </xdr:to>
    <xdr:sp macro="" textlink="">
      <xdr:nvSpPr>
        <xdr:cNvPr id="2" name="Shape 2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514350" y="6591301"/>
          <a:ext cx="2657475" cy="476250"/>
        </a:xfrm>
        <a:prstGeom prst="rect">
          <a:avLst/>
        </a:prstGeom>
        <a:noFill/>
        <a:ln w="12700" cap="flat">
          <a:noFill/>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lang="es-ES" sz="2800" b="1" i="0" u="none" strike="noStrike" cap="none" spc="0" baseline="0">
              <a:ln>
                <a:noFill/>
              </a:ln>
              <a:solidFill>
                <a:srgbClr val="333333"/>
              </a:solidFill>
              <a:uFillTx/>
              <a:latin typeface="Arial"/>
              <a:ea typeface="Arial"/>
              <a:cs typeface="Arial"/>
              <a:sym typeface="Arial"/>
            </a:rPr>
            <a:t>Ver</a:t>
          </a:r>
          <a:r>
            <a:rPr sz="2800" b="1" i="0" u="none" strike="noStrike" cap="none" spc="0" baseline="0">
              <a:ln>
                <a:noFill/>
              </a:ln>
              <a:solidFill>
                <a:srgbClr val="333333"/>
              </a:solidFill>
              <a:uFillTx/>
              <a:latin typeface="Arial"/>
              <a:ea typeface="Arial"/>
              <a:cs typeface="Arial"/>
              <a:sym typeface="Arial"/>
            </a:rPr>
            <a:t> resultado</a:t>
          </a:r>
        </a:p>
      </xdr:txBody>
    </xdr:sp>
    <xdr:clientData/>
  </xdr:twoCellAnchor>
  <xdr:twoCellAnchor>
    <xdr:from>
      <xdr:col>9</xdr:col>
      <xdr:colOff>447675</xdr:colOff>
      <xdr:row>60</xdr:row>
      <xdr:rowOff>47625</xdr:rowOff>
    </xdr:from>
    <xdr:to>
      <xdr:col>18</xdr:col>
      <xdr:colOff>790575</xdr:colOff>
      <xdr:row>63</xdr:row>
      <xdr:rowOff>9525</xdr:rowOff>
    </xdr:to>
    <xdr:sp macro="" textlink="">
      <xdr:nvSpPr>
        <xdr:cNvPr id="5" name="Shape 38">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3857625" y="6648450"/>
          <a:ext cx="3086100" cy="447675"/>
        </a:xfrm>
        <a:prstGeom prst="rect">
          <a:avLst/>
        </a:prstGeom>
        <a:noFill/>
        <a:ln w="12700" cap="flat">
          <a:noFill/>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lang="es-ES" sz="2800" b="1" i="0" u="none" strike="noStrike" cap="none" spc="0" baseline="0">
              <a:ln>
                <a:noFill/>
              </a:ln>
              <a:solidFill>
                <a:srgbClr val="333333"/>
              </a:solidFill>
              <a:uFillTx/>
              <a:latin typeface="Arial"/>
              <a:ea typeface="Arial"/>
              <a:cs typeface="Arial"/>
              <a:sym typeface="Arial"/>
            </a:rPr>
            <a:t>Ver cotizaciones</a:t>
          </a:r>
          <a:endParaRPr sz="2800" b="1" i="0" u="none" strike="noStrike" cap="none" spc="0" baseline="0">
            <a:ln>
              <a:noFill/>
            </a:ln>
            <a:solidFill>
              <a:srgbClr val="333333"/>
            </a:solidFill>
            <a:uFillTx/>
            <a:latin typeface="Arial"/>
            <a:ea typeface="Arial"/>
            <a:cs typeface="Arial"/>
            <a:sym typeface="Arial"/>
          </a:endParaRPr>
        </a:p>
      </xdr:txBody>
    </xdr:sp>
    <xdr:clientData/>
  </xdr:twoCellAnchor>
  <xdr:twoCellAnchor>
    <xdr:from>
      <xdr:col>19</xdr:col>
      <xdr:colOff>304800</xdr:colOff>
      <xdr:row>60</xdr:row>
      <xdr:rowOff>85725</xdr:rowOff>
    </xdr:from>
    <xdr:to>
      <xdr:col>22</xdr:col>
      <xdr:colOff>9525</xdr:colOff>
      <xdr:row>63</xdr:row>
      <xdr:rowOff>57150</xdr:rowOff>
    </xdr:to>
    <xdr:sp macro="" textlink="">
      <xdr:nvSpPr>
        <xdr:cNvPr id="7" name="Shape 37">
          <a:extLst>
            <a:ext uri="{FF2B5EF4-FFF2-40B4-BE49-F238E27FC236}">
              <a16:creationId xmlns:a16="http://schemas.microsoft.com/office/drawing/2014/main" id="{00000000-0008-0000-0000-000007000000}"/>
            </a:ext>
          </a:extLst>
        </xdr:cNvPr>
        <xdr:cNvSpPr/>
      </xdr:nvSpPr>
      <xdr:spPr>
        <a:xfrm>
          <a:off x="7705725" y="6686550"/>
          <a:ext cx="2838450" cy="457200"/>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FF3333"/>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clientData/>
  </xdr:twoCellAnchor>
  <xdr:twoCellAnchor>
    <xdr:from>
      <xdr:col>19</xdr:col>
      <xdr:colOff>400051</xdr:colOff>
      <xdr:row>60</xdr:row>
      <xdr:rowOff>85727</xdr:rowOff>
    </xdr:from>
    <xdr:to>
      <xdr:col>21</xdr:col>
      <xdr:colOff>1009651</xdr:colOff>
      <xdr:row>63</xdr:row>
      <xdr:rowOff>28576</xdr:rowOff>
    </xdr:to>
    <xdr:sp macro="" textlink="">
      <xdr:nvSpPr>
        <xdr:cNvPr id="8" name="Shape 24">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7800976" y="6686552"/>
          <a:ext cx="2590800" cy="428624"/>
        </a:xfrm>
        <a:prstGeom prst="rect">
          <a:avLst/>
        </a:prstGeom>
        <a:noFill/>
        <a:ln w="12700" cap="flat">
          <a:noFill/>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lang="es-ES" sz="2800" b="1" i="0" u="none" strike="noStrike" cap="none" spc="0" baseline="0">
              <a:ln>
                <a:noFill/>
              </a:ln>
              <a:solidFill>
                <a:srgbClr val="333333"/>
              </a:solidFill>
              <a:uFillTx/>
              <a:latin typeface="Arial"/>
              <a:ea typeface="Arial"/>
              <a:cs typeface="Arial"/>
              <a:sym typeface="Arial"/>
            </a:rPr>
            <a:t>Ver normativa</a:t>
          </a:r>
          <a:endParaRPr sz="2800" b="1" i="0" u="none" strike="noStrike" cap="none" spc="0" baseline="0">
            <a:ln>
              <a:noFill/>
            </a:ln>
            <a:solidFill>
              <a:srgbClr val="333333"/>
            </a:solidFill>
            <a:uFillTx/>
            <a:latin typeface="Arial"/>
            <a:ea typeface="Arial"/>
            <a:cs typeface="Arial"/>
            <a:sym typeface="Arial"/>
          </a:endParaRPr>
        </a:p>
      </xdr:txBody>
    </xdr:sp>
    <xdr:clientData/>
  </xdr:twoCellAnchor>
  <xdr:twoCellAnchor>
    <xdr:from>
      <xdr:col>8</xdr:col>
      <xdr:colOff>180975</xdr:colOff>
      <xdr:row>24</xdr:row>
      <xdr:rowOff>133350</xdr:rowOff>
    </xdr:from>
    <xdr:to>
      <xdr:col>11</xdr:col>
      <xdr:colOff>511567</xdr:colOff>
      <xdr:row>26</xdr:row>
      <xdr:rowOff>111061</xdr:rowOff>
    </xdr:to>
    <xdr:sp macro="" textlink="">
      <xdr:nvSpPr>
        <xdr:cNvPr id="9" name="Shape 24">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3305175" y="2733675"/>
          <a:ext cx="1425967" cy="206311"/>
        </a:xfrm>
        <a:prstGeom prst="rect">
          <a:avLst/>
        </a:prstGeom>
        <a:noFill/>
        <a:ln w="12700" cap="flat">
          <a:noFill/>
          <a:miter lim="400000"/>
        </a:ln>
        <a:effectLst/>
        <a:extLst>
          <a:ext uri="{C572A759-6A51-4108-AA02-DFA0A04FC94B}">
            <ma14:wrappingTextBoxFlag xmlns:ma14="http://schemas.microsoft.com/office/mac/drawingml/2011/main" xmlns:r="http://schemas.openxmlformats.org/officeDocument/2006/relationships" xmlns=""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sz="1200" b="1" i="0" u="none" strike="noStrike" cap="none" spc="0" baseline="0">
              <a:ln>
                <a:noFill/>
              </a:ln>
              <a:solidFill>
                <a:srgbClr val="333333"/>
              </a:solidFill>
              <a:uFillTx/>
              <a:latin typeface="Arial"/>
              <a:ea typeface="Arial"/>
              <a:cs typeface="Arial"/>
              <a:sym typeface="Arial"/>
            </a:rPr>
            <a:t>Ir a hoja servicios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72</xdr:row>
      <xdr:rowOff>133351</xdr:rowOff>
    </xdr:from>
    <xdr:to>
      <xdr:col>3</xdr:col>
      <xdr:colOff>209550</xdr:colOff>
      <xdr:row>76</xdr:row>
      <xdr:rowOff>57151</xdr:rowOff>
    </xdr:to>
    <xdr:sp macro="" textlink="">
      <xdr:nvSpPr>
        <xdr:cNvPr id="3" name="Shape 37">
          <a:extLst>
            <a:ext uri="{FF2B5EF4-FFF2-40B4-BE49-F238E27FC236}">
              <a16:creationId xmlns:a16="http://schemas.microsoft.com/office/drawing/2014/main" id="{00000000-0008-0000-0100-000003000000}"/>
            </a:ext>
          </a:extLst>
        </xdr:cNvPr>
        <xdr:cNvSpPr/>
      </xdr:nvSpPr>
      <xdr:spPr>
        <a:xfrm>
          <a:off x="371475" y="7439026"/>
          <a:ext cx="2686050" cy="571500"/>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FF3333"/>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clientData/>
  </xdr:twoCellAnchor>
  <xdr:twoCellAnchor>
    <xdr:from>
      <xdr:col>2</xdr:col>
      <xdr:colOff>0</xdr:colOff>
      <xdr:row>73</xdr:row>
      <xdr:rowOff>0</xdr:rowOff>
    </xdr:from>
    <xdr:to>
      <xdr:col>3</xdr:col>
      <xdr:colOff>180975</xdr:colOff>
      <xdr:row>75</xdr:row>
      <xdr:rowOff>142875</xdr:rowOff>
    </xdr:to>
    <xdr:sp macro="" textlink="">
      <xdr:nvSpPr>
        <xdr:cNvPr id="2" name="Shape 24">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371475" y="7467600"/>
          <a:ext cx="2657475" cy="466725"/>
        </a:xfrm>
        <a:prstGeom prst="rect">
          <a:avLst/>
        </a:prstGeom>
        <a:noFill/>
        <a:ln w="12700" cap="flat">
          <a:noFill/>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lang="es-ES" sz="2800" b="1" i="0" u="none" strike="noStrike" cap="none" spc="0" baseline="0">
              <a:ln>
                <a:noFill/>
              </a:ln>
              <a:solidFill>
                <a:srgbClr val="333333"/>
              </a:solidFill>
              <a:uFillTx/>
              <a:latin typeface="Arial"/>
              <a:ea typeface="Arial"/>
              <a:cs typeface="Arial"/>
              <a:sym typeface="Arial"/>
            </a:rPr>
            <a:t>Volver a datos</a:t>
          </a:r>
          <a:endParaRPr sz="2800" b="1" i="0" u="none" strike="noStrike" cap="none" spc="0" baseline="0">
            <a:ln>
              <a:noFill/>
            </a:ln>
            <a:solidFill>
              <a:srgbClr val="333333"/>
            </a:solidFill>
            <a:uFillTx/>
            <a:latin typeface="Arial"/>
            <a:ea typeface="Arial"/>
            <a:cs typeface="Arial"/>
            <a:sym typeface="Arial"/>
          </a:endParaRPr>
        </a:p>
      </xdr:txBody>
    </xdr:sp>
    <xdr:clientData/>
  </xdr:twoCellAnchor>
  <xdr:twoCellAnchor>
    <xdr:from>
      <xdr:col>3</xdr:col>
      <xdr:colOff>668316</xdr:colOff>
      <xdr:row>71</xdr:row>
      <xdr:rowOff>90237</xdr:rowOff>
    </xdr:from>
    <xdr:to>
      <xdr:col>11</xdr:col>
      <xdr:colOff>603752</xdr:colOff>
      <xdr:row>77</xdr:row>
      <xdr:rowOff>102508</xdr:rowOff>
    </xdr:to>
    <xdr:grpSp>
      <xdr:nvGrpSpPr>
        <xdr:cNvPr id="4" name="Group 4">
          <a:extLst>
            <a:ext uri="{FF2B5EF4-FFF2-40B4-BE49-F238E27FC236}">
              <a16:creationId xmlns:a16="http://schemas.microsoft.com/office/drawing/2014/main" id="{00000000-0008-0000-0100-000004000000}"/>
            </a:ext>
          </a:extLst>
        </xdr:cNvPr>
        <xdr:cNvGrpSpPr/>
      </xdr:nvGrpSpPr>
      <xdr:grpSpPr>
        <a:xfrm>
          <a:off x="3516291" y="8472237"/>
          <a:ext cx="3469211" cy="983821"/>
          <a:chOff x="57510" y="-1577548"/>
          <a:chExt cx="3963181" cy="974798"/>
        </a:xfrm>
      </xdr:grpSpPr>
      <xdr:sp macro="" textlink="">
        <xdr:nvSpPr>
          <xdr:cNvPr id="5" name="Shape 2">
            <a:extLst>
              <a:ext uri="{FF2B5EF4-FFF2-40B4-BE49-F238E27FC236}">
                <a16:creationId xmlns:a16="http://schemas.microsoft.com/office/drawing/2014/main" id="{00000000-0008-0000-0100-000005000000}"/>
              </a:ext>
            </a:extLst>
          </xdr:cNvPr>
          <xdr:cNvSpPr/>
        </xdr:nvSpPr>
        <xdr:spPr>
          <a:xfrm>
            <a:off x="57510" y="-1493921"/>
            <a:ext cx="3920757" cy="847266"/>
          </a:xfrm>
          <a:custGeom>
            <a:avLst/>
            <a:gdLst/>
            <a:ahLst/>
            <a:cxnLst>
              <a:cxn ang="0">
                <a:pos x="wd2" y="hd2"/>
              </a:cxn>
              <a:cxn ang="5400000">
                <a:pos x="wd2" y="hd2"/>
              </a:cxn>
              <a:cxn ang="10800000">
                <a:pos x="wd2" y="hd2"/>
              </a:cxn>
              <a:cxn ang="16200000">
                <a:pos x="wd2" y="hd2"/>
              </a:cxn>
            </a:cxnLst>
            <a:rect l="0" t="0" r="r" b="b"/>
            <a:pathLst>
              <a:path w="21600" h="21600" extrusionOk="0">
                <a:moveTo>
                  <a:pt x="746" y="0"/>
                </a:moveTo>
                <a:cubicBezTo>
                  <a:pt x="373" y="0"/>
                  <a:pt x="0" y="1795"/>
                  <a:pt x="0" y="3600"/>
                </a:cubicBezTo>
                <a:lnTo>
                  <a:pt x="0" y="18000"/>
                </a:lnTo>
                <a:cubicBezTo>
                  <a:pt x="0" y="19795"/>
                  <a:pt x="373" y="21600"/>
                  <a:pt x="746" y="21600"/>
                </a:cubicBezTo>
                <a:lnTo>
                  <a:pt x="20852" y="21600"/>
                </a:lnTo>
                <a:cubicBezTo>
                  <a:pt x="21225" y="21600"/>
                  <a:pt x="21600" y="19795"/>
                  <a:pt x="21600" y="18000"/>
                </a:cubicBezTo>
                <a:lnTo>
                  <a:pt x="21600" y="3600"/>
                </a:lnTo>
                <a:cubicBezTo>
                  <a:pt x="21600" y="1795"/>
                  <a:pt x="21225" y="0"/>
                  <a:pt x="20852" y="0"/>
                </a:cubicBezTo>
                <a:lnTo>
                  <a:pt x="746" y="0"/>
                </a:lnTo>
              </a:path>
            </a:pathLst>
          </a:custGeom>
          <a:solidFill>
            <a:srgbClr val="009900"/>
          </a:solidFill>
          <a:ln w="9360" cap="sq">
            <a:solidFill>
              <a:srgbClr val="3465A4"/>
            </a:solidFill>
            <a:prstDash val="solid"/>
            <a:round/>
          </a:ln>
          <a:effectLst>
            <a:outerShdw blurRad="63500" dist="101823" dir="2700000" rotWithShape="0">
              <a:srgbClr val="808080"/>
            </a:outerShdw>
          </a:effectLst>
        </xdr:spPr>
        <xdr:txBody>
          <a:bodyPr/>
          <a:lstStyle/>
          <a:p>
            <a:endParaRPr/>
          </a:p>
        </xdr:txBody>
      </xdr:sp>
      <xdr:sp macro="" textlink="">
        <xdr:nvSpPr>
          <xdr:cNvPr id="6" name="Shape 3">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61466" y="-1577548"/>
            <a:ext cx="3959225" cy="974798"/>
          </a:xfrm>
          <a:prstGeom prst="rect">
            <a:avLst/>
          </a:prstGeom>
          <a:noFill/>
          <a:ln w="12700" cap="flat">
            <a:noFill/>
            <a:miter lim="400000"/>
          </a:ln>
          <a:effectLst/>
          <a:extLst>
            <a:ext uri="{C572A759-6A51-4108-AA02-DFA0A04FC94B}">
              <ma14:wrappingTextBoxFlag xmlns="" xmlns:r="http://schemas.openxmlformats.org/officeDocument/2006/relationships" xmlns:ma14="http://schemas.microsoft.com/office/mac/drawingml/2011/main" val="1"/>
            </a:ext>
          </a:extLst>
        </xdr:spPr>
        <xdr:txBody>
          <a:bodyPr wrap="square" lIns="44999" tIns="44999" rIns="44999" bIns="44999" numCol="1" anchor="ctr">
            <a:noAutofit/>
          </a:bodyPr>
          <a:lstStyle/>
          <a:p>
            <a:pPr marL="0" marR="0" indent="0" algn="ctr" defTabSz="457200" latinLnBrk="0">
              <a:lnSpc>
                <a:spcPct val="100000"/>
              </a:lnSpc>
              <a:spcBef>
                <a:spcPts val="0"/>
              </a:spcBef>
              <a:spcAft>
                <a:spcPts val="0"/>
              </a:spcAft>
              <a:buClrTx/>
              <a:buSzTx/>
              <a:buFontTx/>
              <a:buNone/>
              <a:tabLst/>
              <a:defRPr sz="1100" b="0" i="0" u="none" strike="noStrike" cap="none" spc="0" baseline="0">
                <a:ln>
                  <a:noFill/>
                </a:ln>
                <a:solidFill>
                  <a:srgbClr val="333333"/>
                </a:solidFill>
                <a:uFillTx/>
                <a:latin typeface="Calibri"/>
                <a:ea typeface="Calibri"/>
                <a:cs typeface="Calibri"/>
                <a:sym typeface="Calibri"/>
              </a:defRPr>
            </a:pPr>
            <a:r>
              <a:rPr lang="es-ES" sz="2800" b="1" i="0" u="none" strike="noStrike" cap="none" spc="0" baseline="0">
                <a:ln>
                  <a:noFill/>
                </a:ln>
                <a:solidFill>
                  <a:srgbClr val="333333"/>
                </a:solidFill>
                <a:uFillTx/>
                <a:latin typeface="Arial"/>
                <a:ea typeface="Arial"/>
                <a:cs typeface="Arial"/>
                <a:sym typeface="Arial"/>
              </a:rPr>
              <a:t>Acceder a impresos solicitud</a:t>
            </a:r>
            <a:endParaRPr sz="2800" b="1" i="0" u="none" strike="noStrike" cap="none" spc="0" baseline="0">
              <a:ln>
                <a:noFill/>
              </a:ln>
              <a:solidFill>
                <a:srgbClr val="333333"/>
              </a:solidFill>
              <a:uFillTx/>
              <a:latin typeface="Arial"/>
              <a:ea typeface="Arial"/>
              <a:cs typeface="Arial"/>
              <a:sym typeface="Aria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ede.seg-social.gob.es/wps/portal/sede/sede/Ciudadanos/!ut/p/z1/04_Sj9CPykssy0xPLMnMz0vMAfIjo8zijQ3NTAwtDQx93A08XQ0cQ329Qy2NA43djcz0w_EpMLA00I8iRr8BDuBIhP4ofErALgArwGNFcGqxfkFuaIRBlokiAPa1s3w!/dz/d5/L2dBISEvZ0FBIS9nQSEh/" TargetMode="External"/><Relationship Id="rId2" Type="http://schemas.openxmlformats.org/officeDocument/2006/relationships/hyperlink" Target="http://docentesdecanarias.org/dci/index.php/jubilacion/160-reconocimiento-del-servicio-militar-a-efectos-de-cotizacion" TargetMode="External"/><Relationship Id="rId1" Type="http://schemas.openxmlformats.org/officeDocument/2006/relationships/hyperlink" Target="http://docentesdecanarias.org/dci/index.php/reconocimiento-de-periodo-por-hijo-nacido-antes-de-trabaja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docentesdecanarias.org/dci/index.php/reconocimiento-de-periodo-por-hijo-nacido-en-situacion-de-desempleo" TargetMode="Externa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biernodecanarias.org/cpj/dgfp/index.jsp?idc=316&amp;idn=34" TargetMode="External"/><Relationship Id="rId1" Type="http://schemas.openxmlformats.org/officeDocument/2006/relationships/hyperlink" Target="http://www.gobiernodecanarias.org/cpj/dgfp/empleados_publicos/polizas/documentacion_lugares_contacto.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e.es/buscar/act.php?id=BOE-A-2023-26452&amp;p=20231228&amp;tn=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igae.pap.minhap.gob.es/simula/faces/pages/simulaIndex.jspx?_afrLoop=7466975001484790&amp;_afrWindowMode=0&amp;_adf.ctrl-state=17i2a4cjgd_4" TargetMode="External"/><Relationship Id="rId3" Type="http://schemas.openxmlformats.org/officeDocument/2006/relationships/hyperlink" Target="http://www.seg-social.es/Internet_1/Normativa/index.htm?dDocName=095160&amp;C1=1001&amp;C2=2009" TargetMode="External"/><Relationship Id="rId7" Type="http://schemas.openxmlformats.org/officeDocument/2006/relationships/hyperlink" Target="https://clasespasivas.gob.es/sitios/sedeclasespasivas/es-ES/Paginas/inicio.aspx" TargetMode="External"/><Relationship Id="rId2" Type="http://schemas.openxmlformats.org/officeDocument/2006/relationships/hyperlink" Target="http://www.boe.es/diario_boe/txt.php?id=BOE-A-1991-10601" TargetMode="External"/><Relationship Id="rId1" Type="http://schemas.openxmlformats.org/officeDocument/2006/relationships/hyperlink" Target="http://www.boe.es/buscar/act.php?id=BOE-A-1987-12636" TargetMode="External"/><Relationship Id="rId6" Type="http://schemas.openxmlformats.org/officeDocument/2006/relationships/hyperlink" Target="http://www.clasespasivas.sepg.pap.minhap.gob.es/sitios/clasespasivas/es-ES/Normativa/Documents/Pensiones%20de%20Clases%20Pasivas/0107%20Resoluci%C3%B3n%20de%2018%20de%20marzo%20de%202010%20J%20electr%C3%B3nico.pdf" TargetMode="External"/><Relationship Id="rId11" Type="http://schemas.openxmlformats.org/officeDocument/2006/relationships/hyperlink" Target="http://www.clasespasivas.sepg.pap.minhap.gob.es/sitios/clasespasivas/es-ES/PensionesPrestaciones/PENSIONESCLASESPASIVAS/pensionesjubilacion/Paginas/Normasgenerales.aspx" TargetMode="External"/><Relationship Id="rId5" Type="http://schemas.openxmlformats.org/officeDocument/2006/relationships/hyperlink" Target="http://www.boe.es/diario_boe/txt.php?id=BOE-A-2009-7194" TargetMode="External"/><Relationship Id="rId10" Type="http://schemas.openxmlformats.org/officeDocument/2006/relationships/hyperlink" Target="mailto:Clases.pasivas@sepg.minhap.es" TargetMode="External"/><Relationship Id="rId4" Type="http://schemas.openxmlformats.org/officeDocument/2006/relationships/hyperlink" Target="http://www.boe.es/diario_boe/txt.php?id=BOE-A-2000-6747" TargetMode="External"/><Relationship Id="rId9" Type="http://schemas.openxmlformats.org/officeDocument/2006/relationships/hyperlink" Target="http://www.clasespasivas.sepg.pap.minhap.gob.es/sitios/clasespasivas/es-ES/infoFuturaPension/Paginas/infoPreviaJubilacion.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BH100"/>
  <sheetViews>
    <sheetView workbookViewId="0">
      <selection activeCell="W48" sqref="W48"/>
    </sheetView>
    <sheetView workbookViewId="1"/>
  </sheetViews>
  <sheetFormatPr baseColWidth="10" defaultRowHeight="12.75" x14ac:dyDescent="0.2"/>
  <cols>
    <col min="1" max="1" width="3.140625" style="1" customWidth="1"/>
    <col min="2" max="2" width="1.5703125" style="1" customWidth="1"/>
    <col min="3" max="3" width="1.28515625" style="1" customWidth="1"/>
    <col min="4" max="4" width="18.85546875" style="1" bestFit="1" customWidth="1"/>
    <col min="5" max="5" width="6.85546875" style="1" customWidth="1"/>
    <col min="6" max="6" width="7.42578125" style="1" customWidth="1"/>
    <col min="7" max="7" width="6.5703125" style="1" customWidth="1"/>
    <col min="8" max="8" width="1.140625" style="1" customWidth="1"/>
    <col min="9" max="9" width="5.42578125" style="1" customWidth="1"/>
    <col min="10" max="10" width="10.85546875" style="1" customWidth="1"/>
    <col min="11" max="11" width="1.28515625" style="1" customWidth="1"/>
    <col min="12" max="12" width="11.28515625" style="1" customWidth="1"/>
    <col min="13" max="14" width="1.42578125" style="1" customWidth="1"/>
    <col min="15" max="15" width="1" style="1" customWidth="1"/>
    <col min="16" max="16" width="2.28515625" style="1" customWidth="1"/>
    <col min="17" max="17" width="3.7109375" style="1" customWidth="1"/>
    <col min="18" max="18" width="10.28515625" style="1" customWidth="1"/>
    <col min="19" max="19" width="16.28515625" style="1" customWidth="1"/>
    <col min="20" max="20" width="21.28515625" style="1" customWidth="1"/>
    <col min="21" max="21" width="8.42578125" style="1" customWidth="1"/>
    <col min="22" max="22" width="17.28515625" style="1" customWidth="1"/>
    <col min="23" max="23" width="1.28515625" style="1" customWidth="1"/>
    <col min="24" max="24" width="5.42578125" style="1" customWidth="1"/>
    <col min="25" max="25" width="6.28515625" style="1" customWidth="1"/>
    <col min="26" max="26" width="1.28515625" style="1" customWidth="1"/>
    <col min="27" max="27" width="1.7109375" style="1" customWidth="1"/>
    <col min="28" max="28" width="99.28515625" style="1" bestFit="1" customWidth="1"/>
    <col min="29" max="29" width="11.42578125" style="1" customWidth="1"/>
    <col min="30" max="30" width="38.7109375" style="1" hidden="1" customWidth="1"/>
    <col min="31" max="31" width="3.28515625" style="1" hidden="1" customWidth="1"/>
    <col min="32" max="32" width="38.7109375" style="1" hidden="1" customWidth="1"/>
    <col min="33" max="33" width="24" style="1" hidden="1" customWidth="1"/>
    <col min="34" max="34" width="7.5703125" style="1" hidden="1" customWidth="1"/>
    <col min="35" max="35" width="19.42578125" style="1" hidden="1" customWidth="1"/>
    <col min="36" max="36" width="23.7109375" style="1" hidden="1" customWidth="1"/>
    <col min="37" max="37" width="6.5703125" style="1" hidden="1" customWidth="1"/>
    <col min="38" max="38" width="4.85546875" style="1" hidden="1" customWidth="1"/>
    <col min="39" max="40" width="11.42578125" style="1" hidden="1" customWidth="1"/>
    <col min="41" max="41" width="7.85546875" style="1" hidden="1" customWidth="1"/>
    <col min="42" max="60" width="11.42578125" style="1" hidden="1" customWidth="1"/>
    <col min="61" max="75" width="11.42578125" style="1" customWidth="1"/>
    <col min="76" max="16384" width="11.42578125" style="1"/>
  </cols>
  <sheetData>
    <row r="1" spans="1:41" ht="18" x14ac:dyDescent="0.2">
      <c r="A1" s="112"/>
      <c r="B1" s="112"/>
      <c r="C1" s="430" t="s">
        <v>428</v>
      </c>
      <c r="D1" s="430"/>
      <c r="E1" s="430"/>
      <c r="F1" s="430"/>
      <c r="G1" s="430"/>
      <c r="H1" s="430"/>
      <c r="I1" s="430"/>
      <c r="J1" s="430"/>
      <c r="K1" s="430"/>
      <c r="L1" s="430"/>
      <c r="M1" s="430"/>
      <c r="N1" s="430"/>
      <c r="O1" s="430"/>
      <c r="P1" s="430"/>
      <c r="Q1" s="430"/>
      <c r="R1" s="430"/>
      <c r="S1" s="430"/>
      <c r="T1" s="430"/>
      <c r="U1" s="430"/>
      <c r="V1" s="430"/>
      <c r="W1" s="430"/>
      <c r="X1" s="430"/>
      <c r="Y1" s="430"/>
      <c r="Z1" s="112"/>
      <c r="AA1" s="112"/>
      <c r="AB1" s="15"/>
      <c r="AC1" s="15"/>
      <c r="AD1" s="15"/>
      <c r="AE1" s="15"/>
    </row>
    <row r="2" spans="1:41" ht="6" customHeight="1" x14ac:dyDescent="0.2">
      <c r="A2" s="112"/>
      <c r="B2" s="112"/>
      <c r="C2" s="125"/>
      <c r="D2" s="125"/>
      <c r="E2" s="125"/>
      <c r="F2" s="125"/>
      <c r="G2" s="125"/>
      <c r="H2" s="125"/>
      <c r="I2" s="125"/>
      <c r="J2" s="125"/>
      <c r="K2" s="125"/>
      <c r="L2" s="125"/>
      <c r="M2" s="125"/>
      <c r="N2" s="125"/>
      <c r="O2" s="125"/>
      <c r="P2" s="125"/>
      <c r="Q2" s="125"/>
      <c r="R2" s="125"/>
      <c r="S2" s="125"/>
      <c r="T2" s="125"/>
      <c r="U2" s="125"/>
      <c r="V2" s="125"/>
      <c r="W2" s="125"/>
      <c r="X2" s="125"/>
      <c r="Y2" s="125"/>
      <c r="Z2" s="112"/>
      <c r="AA2" s="112"/>
      <c r="AB2" s="15"/>
      <c r="AC2" s="15"/>
      <c r="AD2" s="15"/>
      <c r="AE2" s="15"/>
    </row>
    <row r="3" spans="1:41" ht="18" x14ac:dyDescent="0.2">
      <c r="A3" s="112"/>
      <c r="B3" s="112"/>
      <c r="C3" s="125"/>
      <c r="D3" s="125"/>
      <c r="E3" s="440"/>
      <c r="F3" s="441"/>
      <c r="G3" s="441"/>
      <c r="H3" s="441"/>
      <c r="I3" s="441"/>
      <c r="J3" s="441"/>
      <c r="K3" s="441"/>
      <c r="L3" s="441"/>
      <c r="M3" s="441"/>
      <c r="N3" s="441"/>
      <c r="O3" s="441"/>
      <c r="P3" s="441"/>
      <c r="Q3" s="441"/>
      <c r="R3" s="441"/>
      <c r="S3" s="441"/>
      <c r="T3" s="441"/>
      <c r="U3" s="441"/>
      <c r="V3" s="441"/>
      <c r="W3" s="441"/>
      <c r="X3" s="442"/>
      <c r="Y3" s="125"/>
      <c r="Z3" s="112"/>
      <c r="AA3" s="112"/>
      <c r="AB3" s="15"/>
      <c r="AC3" s="15"/>
      <c r="AD3" s="15"/>
      <c r="AE3" s="15"/>
    </row>
    <row r="4" spans="1:41" ht="5.25" customHeight="1" x14ac:dyDescent="0.2">
      <c r="A4" s="112"/>
      <c r="B4" s="112"/>
      <c r="C4" s="125"/>
      <c r="D4" s="125"/>
      <c r="E4" s="125"/>
      <c r="F4" s="125"/>
      <c r="G4" s="125"/>
      <c r="H4" s="125"/>
      <c r="I4" s="125"/>
      <c r="J4" s="125"/>
      <c r="K4" s="125"/>
      <c r="L4" s="125"/>
      <c r="M4" s="125"/>
      <c r="N4" s="125"/>
      <c r="O4" s="125"/>
      <c r="P4" s="125"/>
      <c r="Q4" s="125"/>
      <c r="R4" s="125"/>
      <c r="S4" s="125"/>
      <c r="T4" s="125"/>
      <c r="U4" s="125"/>
      <c r="V4" s="125"/>
      <c r="W4" s="125"/>
      <c r="X4" s="125"/>
      <c r="Y4" s="125"/>
      <c r="Z4" s="112"/>
      <c r="AA4" s="112"/>
      <c r="AB4" s="15"/>
      <c r="AC4" s="15"/>
      <c r="AD4" s="15"/>
      <c r="AE4" s="15"/>
    </row>
    <row r="5" spans="1:41" ht="18" x14ac:dyDescent="0.25">
      <c r="A5" s="112"/>
      <c r="B5" s="112"/>
      <c r="C5" s="414" t="s">
        <v>429</v>
      </c>
      <c r="D5" s="414"/>
      <c r="E5" s="414"/>
      <c r="F5" s="414"/>
      <c r="G5" s="414"/>
      <c r="H5" s="414"/>
      <c r="I5" s="414"/>
      <c r="J5" s="414"/>
      <c r="K5" s="414"/>
      <c r="L5" s="414"/>
      <c r="M5" s="414"/>
      <c r="N5" s="414"/>
      <c r="O5" s="414"/>
      <c r="P5" s="414"/>
      <c r="Q5" s="414"/>
      <c r="R5" s="414"/>
      <c r="S5" s="414"/>
      <c r="T5" s="414"/>
      <c r="U5" s="414"/>
      <c r="V5" s="414"/>
      <c r="W5" s="414"/>
      <c r="X5" s="414"/>
      <c r="Y5" s="414"/>
      <c r="Z5" s="112"/>
      <c r="AA5" s="112"/>
      <c r="AB5" s="15"/>
      <c r="AC5" s="15"/>
      <c r="AD5" s="15"/>
      <c r="AE5" s="15"/>
    </row>
    <row r="6" spans="1:41" ht="3" customHeight="1" x14ac:dyDescent="0.25">
      <c r="A6" s="112"/>
      <c r="B6" s="112"/>
      <c r="C6" s="98"/>
      <c r="D6" s="98"/>
      <c r="E6" s="98"/>
      <c r="F6" s="98"/>
      <c r="G6" s="98"/>
      <c r="H6" s="98"/>
      <c r="I6" s="98"/>
      <c r="J6" s="98"/>
      <c r="K6" s="98"/>
      <c r="L6" s="98"/>
      <c r="M6" s="98"/>
      <c r="N6" s="98"/>
      <c r="O6" s="98"/>
      <c r="P6" s="98"/>
      <c r="Q6" s="98"/>
      <c r="R6" s="98"/>
      <c r="S6" s="98"/>
      <c r="T6" s="98"/>
      <c r="U6" s="98"/>
      <c r="V6" s="98"/>
      <c r="W6" s="98"/>
      <c r="X6" s="98"/>
      <c r="Y6" s="98"/>
      <c r="Z6" s="112"/>
      <c r="AA6" s="112"/>
      <c r="AB6" s="15"/>
      <c r="AC6" s="15"/>
      <c r="AD6" s="15"/>
      <c r="AE6" s="15"/>
    </row>
    <row r="7" spans="1:41" ht="13.5" customHeight="1" x14ac:dyDescent="0.25">
      <c r="A7" s="112"/>
      <c r="B7" s="112"/>
      <c r="C7" s="98"/>
      <c r="D7" s="435" t="s">
        <v>168</v>
      </c>
      <c r="E7" s="435"/>
      <c r="F7" s="435"/>
      <c r="G7" s="435"/>
      <c r="H7" s="435"/>
      <c r="I7" s="435"/>
      <c r="J7" s="435"/>
      <c r="K7" s="435"/>
      <c r="L7" s="435"/>
      <c r="M7" s="435"/>
      <c r="N7" s="435"/>
      <c r="O7" s="435"/>
      <c r="P7" s="435"/>
      <c r="Q7" s="435"/>
      <c r="R7" s="435"/>
      <c r="S7" s="435"/>
      <c r="T7" s="435"/>
      <c r="U7" s="435"/>
      <c r="V7" s="435"/>
      <c r="W7" s="435"/>
      <c r="X7" s="435"/>
      <c r="Y7" s="435"/>
      <c r="Z7" s="112"/>
      <c r="AA7" s="112"/>
      <c r="AB7" s="15"/>
      <c r="AC7" s="15"/>
      <c r="AD7" s="15"/>
      <c r="AE7" s="15"/>
    </row>
    <row r="8" spans="1:41" ht="4.5" customHeight="1" thickBot="1" x14ac:dyDescent="0.25">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5"/>
      <c r="AC8" s="15"/>
      <c r="AD8" s="15"/>
      <c r="AE8" s="15"/>
    </row>
    <row r="9" spans="1:41" ht="7.5" customHeight="1" x14ac:dyDescent="0.2">
      <c r="A9" s="112"/>
      <c r="B9" s="311"/>
      <c r="C9" s="321"/>
      <c r="D9" s="321"/>
      <c r="E9" s="321"/>
      <c r="F9" s="321"/>
      <c r="G9" s="321"/>
      <c r="H9" s="321"/>
      <c r="I9" s="321"/>
      <c r="J9" s="321"/>
      <c r="K9" s="321"/>
      <c r="L9" s="321"/>
      <c r="M9" s="312"/>
      <c r="N9" s="112"/>
      <c r="O9" s="311"/>
      <c r="P9" s="321"/>
      <c r="Q9" s="321"/>
      <c r="R9" s="321"/>
      <c r="S9" s="321"/>
      <c r="T9" s="321"/>
      <c r="U9" s="321"/>
      <c r="V9" s="321"/>
      <c r="W9" s="321"/>
      <c r="X9" s="321"/>
      <c r="Y9" s="321"/>
      <c r="Z9" s="312"/>
      <c r="AA9" s="112"/>
      <c r="AB9" s="15"/>
      <c r="AC9" s="15"/>
      <c r="AD9" s="15"/>
      <c r="AE9" s="15"/>
    </row>
    <row r="10" spans="1:41" ht="18" x14ac:dyDescent="0.25">
      <c r="A10" s="112"/>
      <c r="B10" s="313"/>
      <c r="C10" s="434" t="s">
        <v>116</v>
      </c>
      <c r="D10" s="434"/>
      <c r="E10" s="434"/>
      <c r="F10" s="434"/>
      <c r="G10" s="434"/>
      <c r="H10" s="434"/>
      <c r="I10" s="434"/>
      <c r="J10" s="434"/>
      <c r="K10" s="434"/>
      <c r="L10" s="434"/>
      <c r="M10" s="314"/>
      <c r="N10" s="112"/>
      <c r="O10" s="313"/>
      <c r="P10" s="434" t="s">
        <v>127</v>
      </c>
      <c r="Q10" s="434"/>
      <c r="R10" s="434"/>
      <c r="S10" s="434"/>
      <c r="T10" s="434"/>
      <c r="U10" s="434"/>
      <c r="V10" s="434"/>
      <c r="W10" s="434"/>
      <c r="X10" s="434"/>
      <c r="Y10" s="434"/>
      <c r="Z10" s="314"/>
      <c r="AA10" s="112"/>
      <c r="AB10" s="15"/>
      <c r="AC10" s="15"/>
      <c r="AD10" s="15"/>
      <c r="AE10" s="15"/>
    </row>
    <row r="11" spans="1:41" ht="5.25" customHeight="1" x14ac:dyDescent="0.2">
      <c r="A11" s="112"/>
      <c r="B11" s="313"/>
      <c r="C11" s="324"/>
      <c r="D11" s="113"/>
      <c r="E11" s="113"/>
      <c r="F11" s="113"/>
      <c r="G11" s="113"/>
      <c r="H11" s="113"/>
      <c r="I11" s="113"/>
      <c r="J11" s="113"/>
      <c r="K11" s="113"/>
      <c r="L11" s="325"/>
      <c r="M11" s="314"/>
      <c r="N11" s="112"/>
      <c r="O11" s="313"/>
      <c r="P11" s="113"/>
      <c r="Q11" s="113"/>
      <c r="R11" s="113"/>
      <c r="S11" s="113"/>
      <c r="T11" s="113"/>
      <c r="U11" s="113"/>
      <c r="V11" s="113"/>
      <c r="W11" s="113"/>
      <c r="X11" s="113"/>
      <c r="Y11" s="113"/>
      <c r="Z11" s="314"/>
      <c r="AA11" s="112"/>
      <c r="AB11" s="15"/>
      <c r="AC11" s="15"/>
      <c r="AD11" s="15"/>
      <c r="AE11" s="15"/>
    </row>
    <row r="12" spans="1:41" ht="15" x14ac:dyDescent="0.25">
      <c r="A12" s="112"/>
      <c r="B12" s="313"/>
      <c r="C12" s="324"/>
      <c r="D12" s="114" t="s">
        <v>98</v>
      </c>
      <c r="E12" s="436" t="s">
        <v>82</v>
      </c>
      <c r="F12" s="436"/>
      <c r="G12" s="436"/>
      <c r="H12" s="436"/>
      <c r="I12" s="436"/>
      <c r="J12" s="436"/>
      <c r="K12" s="436"/>
      <c r="L12" s="437"/>
      <c r="M12" s="314"/>
      <c r="N12" s="112"/>
      <c r="O12" s="313"/>
      <c r="P12" s="113"/>
      <c r="Q12" s="82"/>
      <c r="R12" s="310" t="s">
        <v>290</v>
      </c>
      <c r="S12" s="310"/>
      <c r="T12" s="310"/>
      <c r="U12" s="82"/>
      <c r="V12" s="82"/>
      <c r="W12" s="82"/>
      <c r="X12" s="307">
        <v>120</v>
      </c>
      <c r="Y12" s="322" t="s">
        <v>8</v>
      </c>
      <c r="Z12" s="314"/>
      <c r="AA12" s="112"/>
      <c r="AB12" s="15"/>
      <c r="AC12" s="15"/>
      <c r="AD12" s="15"/>
      <c r="AE12" s="15"/>
      <c r="AO12" s="41"/>
    </row>
    <row r="13" spans="1:41" ht="3" customHeight="1" x14ac:dyDescent="0.25">
      <c r="A13" s="112"/>
      <c r="B13" s="313"/>
      <c r="C13" s="326"/>
      <c r="D13" s="86"/>
      <c r="E13" s="86"/>
      <c r="F13" s="86"/>
      <c r="G13" s="86"/>
      <c r="H13" s="86"/>
      <c r="I13" s="86"/>
      <c r="J13" s="86"/>
      <c r="K13" s="86"/>
      <c r="L13" s="327"/>
      <c r="M13" s="314"/>
      <c r="N13" s="98"/>
      <c r="O13" s="313"/>
      <c r="P13" s="86"/>
      <c r="Q13" s="87"/>
      <c r="R13" s="87"/>
      <c r="S13" s="87"/>
      <c r="T13" s="87"/>
      <c r="U13" s="87"/>
      <c r="V13" s="87"/>
      <c r="W13" s="87"/>
      <c r="X13" s="87">
        <v>0</v>
      </c>
      <c r="Y13" s="87"/>
      <c r="Z13" s="314"/>
      <c r="AA13" s="112"/>
      <c r="AB13" s="15"/>
      <c r="AC13" s="15"/>
      <c r="AD13" s="15"/>
      <c r="AE13" s="15"/>
    </row>
    <row r="14" spans="1:41" ht="15" x14ac:dyDescent="0.25">
      <c r="A14" s="112"/>
      <c r="B14" s="313"/>
      <c r="C14" s="324"/>
      <c r="D14" s="114" t="s">
        <v>100</v>
      </c>
      <c r="E14" s="436" t="s">
        <v>234</v>
      </c>
      <c r="F14" s="436"/>
      <c r="G14" s="436"/>
      <c r="H14" s="436"/>
      <c r="I14" s="436"/>
      <c r="J14" s="436"/>
      <c r="K14" s="436"/>
      <c r="L14" s="437"/>
      <c r="M14" s="314"/>
      <c r="N14" s="112"/>
      <c r="O14" s="313"/>
      <c r="P14" s="113"/>
      <c r="Q14" s="82"/>
      <c r="R14" s="415" t="s">
        <v>288</v>
      </c>
      <c r="S14" s="415"/>
      <c r="T14" s="415"/>
      <c r="U14" s="415"/>
      <c r="V14" s="415"/>
      <c r="W14" s="82"/>
      <c r="X14" s="307">
        <v>0</v>
      </c>
      <c r="Y14" s="322" t="s">
        <v>8</v>
      </c>
      <c r="Z14" s="314"/>
      <c r="AA14" s="112"/>
      <c r="AB14" s="118" t="s">
        <v>289</v>
      </c>
      <c r="AC14" s="15"/>
      <c r="AD14" s="15"/>
      <c r="AE14" s="15"/>
    </row>
    <row r="15" spans="1:41" ht="3" customHeight="1" x14ac:dyDescent="0.25">
      <c r="A15" s="112"/>
      <c r="B15" s="313"/>
      <c r="C15" s="326"/>
      <c r="D15" s="86"/>
      <c r="E15" s="86"/>
      <c r="F15" s="86"/>
      <c r="G15" s="86"/>
      <c r="H15" s="86"/>
      <c r="I15" s="86"/>
      <c r="J15" s="86"/>
      <c r="K15" s="86"/>
      <c r="L15" s="327"/>
      <c r="M15" s="314"/>
      <c r="N15" s="98"/>
      <c r="O15" s="313"/>
      <c r="P15" s="86"/>
      <c r="Q15" s="87"/>
      <c r="R15" s="87"/>
      <c r="S15" s="87"/>
      <c r="T15" s="87"/>
      <c r="U15" s="87"/>
      <c r="V15" s="87"/>
      <c r="W15" s="87"/>
      <c r="X15" s="87"/>
      <c r="Y15" s="87"/>
      <c r="Z15" s="314"/>
      <c r="AA15" s="112"/>
      <c r="AB15" s="15"/>
      <c r="AC15" s="15"/>
      <c r="AD15" s="15"/>
      <c r="AE15" s="15"/>
    </row>
    <row r="16" spans="1:41" ht="15.75" thickBot="1" x14ac:dyDescent="0.3">
      <c r="A16" s="112"/>
      <c r="B16" s="313"/>
      <c r="C16" s="324"/>
      <c r="D16" s="114" t="s">
        <v>99</v>
      </c>
      <c r="E16" s="438">
        <v>23812</v>
      </c>
      <c r="F16" s="438"/>
      <c r="G16" s="113"/>
      <c r="H16" s="113"/>
      <c r="I16" s="113"/>
      <c r="J16" s="319" t="s">
        <v>64</v>
      </c>
      <c r="K16" s="113"/>
      <c r="L16" s="328" t="str">
        <f>IF(OR(E14=AF72,E14=AF73,E14=AF74,E14=AF75),AE72,AE76)</f>
        <v>A2</v>
      </c>
      <c r="M16" s="314"/>
      <c r="N16" s="112"/>
      <c r="O16" s="315"/>
      <c r="P16" s="320"/>
      <c r="Q16" s="316"/>
      <c r="R16" s="416" t="s">
        <v>167</v>
      </c>
      <c r="S16" s="416"/>
      <c r="T16" s="416"/>
      <c r="U16" s="416"/>
      <c r="V16" s="416"/>
      <c r="W16" s="316"/>
      <c r="X16" s="317">
        <v>0</v>
      </c>
      <c r="Y16" s="323" t="s">
        <v>8</v>
      </c>
      <c r="Z16" s="318"/>
      <c r="AA16" s="112"/>
      <c r="AB16" s="15"/>
      <c r="AC16" s="15"/>
      <c r="AD16" s="15"/>
      <c r="AE16" s="15"/>
    </row>
    <row r="17" spans="1:34" ht="3" customHeight="1" thickBot="1" x14ac:dyDescent="0.3">
      <c r="A17" s="112"/>
      <c r="B17" s="313"/>
      <c r="C17" s="326"/>
      <c r="D17" s="86"/>
      <c r="E17" s="86"/>
      <c r="F17" s="86"/>
      <c r="G17" s="86"/>
      <c r="H17" s="86"/>
      <c r="I17" s="86"/>
      <c r="J17" s="86"/>
      <c r="K17" s="86"/>
      <c r="L17" s="327"/>
      <c r="M17" s="314"/>
      <c r="N17" s="98"/>
      <c r="O17" s="113"/>
      <c r="P17" s="113"/>
      <c r="Q17" s="113"/>
      <c r="R17" s="113"/>
      <c r="S17" s="113"/>
      <c r="T17" s="113"/>
      <c r="U17" s="113"/>
      <c r="V17" s="113"/>
      <c r="W17" s="113"/>
      <c r="X17" s="113"/>
      <c r="Y17" s="113"/>
      <c r="Z17" s="113"/>
      <c r="AA17" s="112"/>
      <c r="AB17" s="15"/>
      <c r="AC17" s="15"/>
      <c r="AD17" s="15"/>
      <c r="AE17" s="15"/>
    </row>
    <row r="18" spans="1:34" ht="18" x14ac:dyDescent="0.25">
      <c r="A18" s="112"/>
      <c r="B18" s="313"/>
      <c r="C18" s="324"/>
      <c r="D18" s="114" t="s">
        <v>9</v>
      </c>
      <c r="E18" s="438">
        <f>+RESULTADO!N73</f>
        <v>45727</v>
      </c>
      <c r="F18" s="438"/>
      <c r="G18" s="113"/>
      <c r="H18" s="113"/>
      <c r="I18" s="113"/>
      <c r="J18" s="113"/>
      <c r="K18" s="113"/>
      <c r="L18" s="325"/>
      <c r="M18" s="314"/>
      <c r="N18" s="112"/>
      <c r="O18" s="311"/>
      <c r="P18" s="444" t="s">
        <v>120</v>
      </c>
      <c r="Q18" s="445"/>
      <c r="R18" s="445"/>
      <c r="S18" s="445"/>
      <c r="T18" s="445"/>
      <c r="U18" s="445"/>
      <c r="V18" s="445"/>
      <c r="W18" s="445"/>
      <c r="X18" s="445"/>
      <c r="Y18" s="446"/>
      <c r="Z18" s="312"/>
      <c r="AA18" s="112"/>
      <c r="AB18" s="15"/>
      <c r="AC18" s="15"/>
      <c r="AD18" s="15"/>
      <c r="AE18" s="15"/>
    </row>
    <row r="19" spans="1:34" ht="3" customHeight="1" x14ac:dyDescent="0.25">
      <c r="A19" s="112"/>
      <c r="B19" s="313"/>
      <c r="C19" s="326"/>
      <c r="D19" s="86"/>
      <c r="E19" s="86"/>
      <c r="F19" s="86"/>
      <c r="G19" s="86"/>
      <c r="H19" s="86"/>
      <c r="I19" s="86"/>
      <c r="J19" s="86"/>
      <c r="K19" s="86"/>
      <c r="L19" s="327"/>
      <c r="M19" s="314"/>
      <c r="N19" s="98"/>
      <c r="O19" s="313"/>
      <c r="P19" s="113"/>
      <c r="Q19" s="113"/>
      <c r="R19" s="113"/>
      <c r="S19" s="113"/>
      <c r="T19" s="113"/>
      <c r="U19" s="113"/>
      <c r="V19" s="113"/>
      <c r="W19" s="113"/>
      <c r="X19" s="113"/>
      <c r="Y19" s="113"/>
      <c r="Z19" s="314"/>
      <c r="AA19" s="112"/>
      <c r="AB19" s="15"/>
      <c r="AC19" s="15"/>
      <c r="AD19" s="15"/>
      <c r="AE19" s="15"/>
    </row>
    <row r="20" spans="1:34" ht="15" x14ac:dyDescent="0.25">
      <c r="A20" s="112"/>
      <c r="B20" s="313"/>
      <c r="C20" s="324"/>
      <c r="D20" s="114" t="s">
        <v>117</v>
      </c>
      <c r="E20" s="436" t="s">
        <v>80</v>
      </c>
      <c r="F20" s="436"/>
      <c r="G20" s="113"/>
      <c r="H20" s="417" t="str">
        <f>IF(AND(E20=AF86,E12=AF68),"Incremento de pensión por hijos",IF(AND(E20=AF86,E12=AF69),"Incremento de pensión por hijos",IF(AND(E20=AF86,E12=AF70),"Incremento de pensión por hijos","")))</f>
        <v/>
      </c>
      <c r="I20" s="417"/>
      <c r="J20" s="417"/>
      <c r="K20" s="417"/>
      <c r="L20" s="418"/>
      <c r="M20" s="314"/>
      <c r="N20" s="112"/>
      <c r="O20" s="313"/>
      <c r="P20" s="113"/>
      <c r="Q20" s="82"/>
      <c r="R20" s="148" t="s">
        <v>101</v>
      </c>
      <c r="S20" s="185" t="s">
        <v>19</v>
      </c>
      <c r="T20" s="82"/>
      <c r="U20" s="82"/>
      <c r="V20" s="82"/>
      <c r="W20" s="82"/>
      <c r="X20" s="82"/>
      <c r="Y20" s="82"/>
      <c r="Z20" s="314"/>
      <c r="AA20" s="112"/>
      <c r="AB20" s="15"/>
      <c r="AC20" s="15"/>
      <c r="AD20" s="15"/>
      <c r="AE20" s="15"/>
    </row>
    <row r="21" spans="1:34" ht="3" customHeight="1" x14ac:dyDescent="0.25">
      <c r="A21" s="112"/>
      <c r="B21" s="313"/>
      <c r="C21" s="326"/>
      <c r="D21" s="86"/>
      <c r="E21" s="86"/>
      <c r="F21" s="86"/>
      <c r="G21" s="86"/>
      <c r="H21" s="86"/>
      <c r="I21" s="86"/>
      <c r="J21" s="86"/>
      <c r="K21" s="86"/>
      <c r="L21" s="327"/>
      <c r="M21" s="314"/>
      <c r="N21" s="98"/>
      <c r="O21" s="313"/>
      <c r="P21" s="113"/>
      <c r="Q21" s="113"/>
      <c r="R21" s="113"/>
      <c r="S21" s="113"/>
      <c r="T21" s="113"/>
      <c r="U21" s="113"/>
      <c r="V21" s="113"/>
      <c r="W21" s="113"/>
      <c r="X21" s="113"/>
      <c r="Y21" s="113"/>
      <c r="Z21" s="314"/>
      <c r="AA21" s="112"/>
      <c r="AB21" s="15"/>
      <c r="AC21" s="15"/>
      <c r="AD21" s="15"/>
      <c r="AE21" s="15"/>
    </row>
    <row r="22" spans="1:34" ht="18" x14ac:dyDescent="0.25">
      <c r="A22" s="112"/>
      <c r="B22" s="313"/>
      <c r="C22" s="329"/>
      <c r="D22" s="450" t="s">
        <v>190</v>
      </c>
      <c r="E22" s="450"/>
      <c r="F22" s="330">
        <v>2</v>
      </c>
      <c r="G22" s="331"/>
      <c r="H22" s="331"/>
      <c r="I22" s="428" t="str">
        <f>IF(H20="Incremento de pensión por hijos","Introducir número de hijos","")</f>
        <v/>
      </c>
      <c r="J22" s="428"/>
      <c r="K22" s="428"/>
      <c r="L22" s="429"/>
      <c r="M22" s="314"/>
      <c r="N22" s="112"/>
      <c r="O22" s="313"/>
      <c r="P22" s="447" t="s">
        <v>121</v>
      </c>
      <c r="Q22" s="448"/>
      <c r="R22" s="448"/>
      <c r="S22" s="448"/>
      <c r="T22" s="448"/>
      <c r="U22" s="448"/>
      <c r="V22" s="448"/>
      <c r="W22" s="448"/>
      <c r="X22" s="448"/>
      <c r="Y22" s="449"/>
      <c r="Z22" s="314"/>
      <c r="AA22" s="112"/>
      <c r="AB22" s="15"/>
      <c r="AC22" s="15"/>
      <c r="AD22" s="15"/>
      <c r="AE22" s="15"/>
    </row>
    <row r="23" spans="1:34" ht="3" customHeight="1" x14ac:dyDescent="0.25">
      <c r="A23" s="112"/>
      <c r="B23" s="313"/>
      <c r="C23" s="86"/>
      <c r="D23" s="86"/>
      <c r="E23" s="86"/>
      <c r="F23" s="86"/>
      <c r="G23" s="86"/>
      <c r="H23" s="86"/>
      <c r="I23" s="86"/>
      <c r="J23" s="113"/>
      <c r="K23" s="113"/>
      <c r="L23" s="113"/>
      <c r="M23" s="314"/>
      <c r="N23" s="98"/>
      <c r="O23" s="313"/>
      <c r="P23" s="82"/>
      <c r="Q23" s="82"/>
      <c r="R23" s="82"/>
      <c r="S23" s="82"/>
      <c r="T23" s="82"/>
      <c r="U23" s="82"/>
      <c r="V23" s="82"/>
      <c r="W23" s="82"/>
      <c r="X23" s="82"/>
      <c r="Y23" s="82"/>
      <c r="Z23" s="314"/>
      <c r="AA23" s="112"/>
      <c r="AB23" s="15"/>
      <c r="AC23" s="15"/>
      <c r="AD23" s="15"/>
      <c r="AE23" s="15"/>
    </row>
    <row r="24" spans="1:34" ht="3" customHeight="1" x14ac:dyDescent="0.25">
      <c r="A24" s="112"/>
      <c r="B24" s="313"/>
      <c r="C24" s="86"/>
      <c r="D24" s="86"/>
      <c r="E24" s="86"/>
      <c r="F24" s="86"/>
      <c r="G24" s="86"/>
      <c r="H24" s="86"/>
      <c r="I24" s="86"/>
      <c r="J24" s="113"/>
      <c r="K24" s="113"/>
      <c r="L24" s="113"/>
      <c r="M24" s="314"/>
      <c r="N24" s="98"/>
      <c r="O24" s="313"/>
      <c r="P24" s="82"/>
      <c r="Q24" s="82"/>
      <c r="R24" s="82"/>
      <c r="S24" s="82"/>
      <c r="T24" s="82"/>
      <c r="U24" s="82"/>
      <c r="V24" s="82"/>
      <c r="W24" s="82"/>
      <c r="X24" s="82"/>
      <c r="Y24" s="82"/>
      <c r="Z24" s="314"/>
      <c r="AA24" s="112"/>
      <c r="AB24" s="15"/>
      <c r="AC24" s="15"/>
      <c r="AD24" s="15"/>
      <c r="AE24" s="15"/>
    </row>
    <row r="25" spans="1:34" ht="15" x14ac:dyDescent="0.25">
      <c r="A25" s="112"/>
      <c r="B25" s="313"/>
      <c r="C25" s="332"/>
      <c r="D25" s="439" t="s">
        <v>122</v>
      </c>
      <c r="E25" s="439"/>
      <c r="F25" s="439"/>
      <c r="G25" s="439"/>
      <c r="H25" s="333"/>
      <c r="I25" s="334"/>
      <c r="J25" s="334"/>
      <c r="K25" s="334"/>
      <c r="L25" s="335"/>
      <c r="M25" s="314"/>
      <c r="N25" s="112"/>
      <c r="O25" s="313"/>
      <c r="P25" s="82"/>
      <c r="Q25" s="433" t="s">
        <v>43</v>
      </c>
      <c r="R25" s="433"/>
      <c r="S25" s="433"/>
      <c r="T25" s="433"/>
      <c r="U25" s="433"/>
      <c r="V25" s="433"/>
      <c r="W25" s="433"/>
      <c r="X25" s="433"/>
      <c r="Y25" s="433"/>
      <c r="Z25" s="314"/>
      <c r="AA25" s="112"/>
      <c r="AB25" s="15"/>
      <c r="AC25" s="15"/>
      <c r="AD25" s="15"/>
      <c r="AE25" s="15"/>
      <c r="AF25" s="15"/>
      <c r="AG25" s="15"/>
      <c r="AH25" s="15"/>
    </row>
    <row r="26" spans="1:34" ht="3" customHeight="1" x14ac:dyDescent="0.25">
      <c r="A26" s="112"/>
      <c r="B26" s="313"/>
      <c r="C26" s="326"/>
      <c r="D26" s="86"/>
      <c r="E26" s="86"/>
      <c r="F26" s="86"/>
      <c r="G26" s="86"/>
      <c r="H26" s="86"/>
      <c r="I26" s="113"/>
      <c r="J26" s="113"/>
      <c r="K26" s="113"/>
      <c r="L26" s="325"/>
      <c r="M26" s="314"/>
      <c r="N26" s="98"/>
      <c r="O26" s="313"/>
      <c r="P26" s="82"/>
      <c r="Q26" s="82"/>
      <c r="R26" s="82"/>
      <c r="S26" s="82"/>
      <c r="T26" s="82"/>
      <c r="U26" s="82"/>
      <c r="V26" s="82"/>
      <c r="W26" s="82"/>
      <c r="X26" s="82"/>
      <c r="Y26" s="82"/>
      <c r="Z26" s="314"/>
      <c r="AA26" s="112"/>
      <c r="AB26" s="15"/>
      <c r="AC26" s="15"/>
      <c r="AD26" s="15"/>
      <c r="AE26" s="15"/>
      <c r="AF26" s="15"/>
      <c r="AG26" s="15"/>
      <c r="AH26" s="15"/>
    </row>
    <row r="27" spans="1:34" ht="12.95" customHeight="1" x14ac:dyDescent="0.25">
      <c r="A27" s="112"/>
      <c r="B27" s="313"/>
      <c r="C27" s="336"/>
      <c r="D27" s="269" t="s">
        <v>108</v>
      </c>
      <c r="E27" s="455">
        <v>45310</v>
      </c>
      <c r="F27" s="456"/>
      <c r="G27" s="82"/>
      <c r="H27" s="308"/>
      <c r="I27" s="113"/>
      <c r="J27" s="113"/>
      <c r="K27" s="113"/>
      <c r="L27" s="325"/>
      <c r="M27" s="314"/>
      <c r="N27" s="112"/>
      <c r="O27" s="313"/>
      <c r="P27" s="82"/>
      <c r="Q27" s="82"/>
      <c r="R27" s="81" t="s">
        <v>41</v>
      </c>
      <c r="S27" s="82"/>
      <c r="T27" s="82"/>
      <c r="U27" s="82"/>
      <c r="V27" s="82"/>
      <c r="W27" s="82"/>
      <c r="X27" s="82"/>
      <c r="Y27" s="307" t="s">
        <v>12</v>
      </c>
      <c r="Z27" s="314"/>
      <c r="AA27" s="112"/>
      <c r="AB27" s="15"/>
      <c r="AC27" s="15"/>
      <c r="AD27" s="15"/>
      <c r="AE27" s="15"/>
      <c r="AF27" s="15"/>
      <c r="AG27" s="15"/>
      <c r="AH27" s="15"/>
    </row>
    <row r="28" spans="1:34" ht="3" customHeight="1" x14ac:dyDescent="0.25">
      <c r="A28" s="112"/>
      <c r="B28" s="313"/>
      <c r="C28" s="337"/>
      <c r="D28" s="87"/>
      <c r="E28" s="87"/>
      <c r="F28" s="87"/>
      <c r="G28" s="87"/>
      <c r="H28" s="98"/>
      <c r="I28" s="113"/>
      <c r="J28" s="113"/>
      <c r="K28" s="113"/>
      <c r="L28" s="325"/>
      <c r="M28" s="314"/>
      <c r="N28" s="98"/>
      <c r="O28" s="313"/>
      <c r="P28" s="82"/>
      <c r="Q28" s="82"/>
      <c r="R28" s="82"/>
      <c r="S28" s="82"/>
      <c r="T28" s="82"/>
      <c r="U28" s="82"/>
      <c r="V28" s="82"/>
      <c r="W28" s="82"/>
      <c r="X28" s="82"/>
      <c r="Y28" s="82"/>
      <c r="Z28" s="314"/>
      <c r="AA28" s="112"/>
      <c r="AB28" s="15"/>
      <c r="AC28" s="15"/>
      <c r="AD28" s="15"/>
      <c r="AE28" s="15"/>
      <c r="AF28" s="15"/>
      <c r="AG28" s="15"/>
      <c r="AH28" s="15"/>
    </row>
    <row r="29" spans="1:34" ht="12.95" customHeight="1" x14ac:dyDescent="0.25">
      <c r="A29" s="112"/>
      <c r="B29" s="313"/>
      <c r="C29" s="336"/>
      <c r="D29" s="149"/>
      <c r="E29" s="150" t="s">
        <v>6</v>
      </c>
      <c r="F29" s="150" t="s">
        <v>7</v>
      </c>
      <c r="G29" s="150" t="s">
        <v>8</v>
      </c>
      <c r="H29" s="308"/>
      <c r="I29" s="113"/>
      <c r="J29" s="113"/>
      <c r="K29" s="113"/>
      <c r="L29" s="325"/>
      <c r="M29" s="314"/>
      <c r="N29" s="112"/>
      <c r="O29" s="313"/>
      <c r="P29" s="82"/>
      <c r="Q29" s="82"/>
      <c r="R29" s="81" t="s">
        <v>31</v>
      </c>
      <c r="S29" s="82"/>
      <c r="T29" s="82"/>
      <c r="U29" s="82"/>
      <c r="V29" s="82"/>
      <c r="W29" s="82"/>
      <c r="X29" s="82"/>
      <c r="Y29" s="307" t="s">
        <v>12</v>
      </c>
      <c r="Z29" s="314"/>
      <c r="AA29" s="112"/>
      <c r="AB29" s="15"/>
      <c r="AC29" s="43"/>
      <c r="AD29" s="15"/>
    </row>
    <row r="30" spans="1:34" ht="3" customHeight="1" x14ac:dyDescent="0.25">
      <c r="A30" s="112"/>
      <c r="B30" s="313"/>
      <c r="C30" s="337"/>
      <c r="D30" s="87"/>
      <c r="E30" s="87"/>
      <c r="F30" s="87"/>
      <c r="G30" s="87"/>
      <c r="H30" s="98"/>
      <c r="I30" s="113"/>
      <c r="J30" s="113"/>
      <c r="K30" s="113"/>
      <c r="L30" s="325"/>
      <c r="M30" s="314"/>
      <c r="N30" s="98"/>
      <c r="O30" s="313"/>
      <c r="P30" s="82"/>
      <c r="Q30" s="82"/>
      <c r="R30" s="82"/>
      <c r="S30" s="82"/>
      <c r="T30" s="82"/>
      <c r="U30" s="82"/>
      <c r="V30" s="82"/>
      <c r="W30" s="82"/>
      <c r="X30" s="82"/>
      <c r="Y30" s="82"/>
      <c r="Z30" s="314"/>
      <c r="AA30" s="112"/>
      <c r="AB30" s="15"/>
      <c r="AC30" s="15"/>
      <c r="AD30" s="15"/>
      <c r="AE30" s="15"/>
      <c r="AF30" s="15"/>
      <c r="AG30" s="15"/>
      <c r="AH30" s="15"/>
    </row>
    <row r="31" spans="1:34" ht="15" customHeight="1" x14ac:dyDescent="0.25">
      <c r="A31" s="112"/>
      <c r="B31" s="313"/>
      <c r="C31" s="336"/>
      <c r="D31" s="148" t="s">
        <v>107</v>
      </c>
      <c r="E31" s="45"/>
      <c r="F31" s="45"/>
      <c r="G31" s="45"/>
      <c r="H31" s="308"/>
      <c r="I31" s="419" t="s">
        <v>277</v>
      </c>
      <c r="J31" s="420"/>
      <c r="K31" s="420"/>
      <c r="L31" s="421"/>
      <c r="M31" s="314"/>
      <c r="N31" s="112"/>
      <c r="O31" s="313"/>
      <c r="P31" s="82"/>
      <c r="Q31" s="433" t="s">
        <v>58</v>
      </c>
      <c r="R31" s="433"/>
      <c r="S31" s="433"/>
      <c r="T31" s="433"/>
      <c r="U31" s="433"/>
      <c r="V31" s="433"/>
      <c r="W31" s="433"/>
      <c r="X31" s="433"/>
      <c r="Y31" s="433"/>
      <c r="Z31" s="314"/>
      <c r="AA31" s="112"/>
      <c r="AB31" s="15"/>
      <c r="AC31" s="15"/>
      <c r="AD31" s="15"/>
      <c r="AE31" s="151"/>
      <c r="AF31" s="151"/>
      <c r="AG31" s="151"/>
      <c r="AH31" s="151"/>
    </row>
    <row r="32" spans="1:34" ht="3" customHeight="1" x14ac:dyDescent="0.25">
      <c r="A32" s="112"/>
      <c r="B32" s="313"/>
      <c r="C32" s="337"/>
      <c r="D32" s="87"/>
      <c r="E32" s="87"/>
      <c r="F32" s="87"/>
      <c r="G32" s="87"/>
      <c r="H32" s="98"/>
      <c r="I32" s="422"/>
      <c r="J32" s="423"/>
      <c r="K32" s="423"/>
      <c r="L32" s="424"/>
      <c r="M32" s="314"/>
      <c r="N32" s="98"/>
      <c r="O32" s="313"/>
      <c r="P32" s="82"/>
      <c r="Q32" s="82"/>
      <c r="R32" s="82"/>
      <c r="S32" s="82"/>
      <c r="T32" s="82"/>
      <c r="U32" s="82"/>
      <c r="V32" s="82"/>
      <c r="W32" s="82"/>
      <c r="X32" s="82"/>
      <c r="Y32" s="82"/>
      <c r="Z32" s="314"/>
      <c r="AA32" s="112"/>
      <c r="AB32" s="15"/>
      <c r="AC32" s="15"/>
      <c r="AD32" s="15"/>
      <c r="AE32" s="15"/>
      <c r="AF32" s="15"/>
      <c r="AG32" s="15"/>
      <c r="AH32" s="15"/>
    </row>
    <row r="33" spans="1:34" ht="12.95" customHeight="1" x14ac:dyDescent="0.25">
      <c r="A33" s="112"/>
      <c r="B33" s="313"/>
      <c r="C33" s="336"/>
      <c r="D33" s="148" t="s">
        <v>102</v>
      </c>
      <c r="E33" s="45">
        <v>27</v>
      </c>
      <c r="F33" s="45">
        <v>5</v>
      </c>
      <c r="G33" s="45">
        <v>25</v>
      </c>
      <c r="H33" s="308"/>
      <c r="I33" s="422"/>
      <c r="J33" s="423"/>
      <c r="K33" s="423"/>
      <c r="L33" s="424"/>
      <c r="M33" s="314"/>
      <c r="N33" s="112"/>
      <c r="O33" s="313"/>
      <c r="P33" s="82"/>
      <c r="Q33" s="82"/>
      <c r="R33" s="81" t="s">
        <v>32</v>
      </c>
      <c r="S33" s="82"/>
      <c r="T33" s="82"/>
      <c r="U33" s="82"/>
      <c r="V33" s="82"/>
      <c r="W33" s="82"/>
      <c r="X33" s="82"/>
      <c r="Y33" s="307" t="s">
        <v>12</v>
      </c>
      <c r="Z33" s="314"/>
      <c r="AA33" s="112"/>
      <c r="AB33" s="15"/>
      <c r="AC33" s="15"/>
      <c r="AD33" s="15"/>
      <c r="AE33" s="151"/>
      <c r="AF33" s="151"/>
      <c r="AG33" s="151"/>
      <c r="AH33" s="151"/>
    </row>
    <row r="34" spans="1:34" ht="3" customHeight="1" x14ac:dyDescent="0.25">
      <c r="A34" s="112"/>
      <c r="B34" s="313"/>
      <c r="C34" s="337"/>
      <c r="D34" s="87"/>
      <c r="E34" s="87"/>
      <c r="F34" s="87"/>
      <c r="G34" s="87"/>
      <c r="H34" s="98"/>
      <c r="I34" s="422"/>
      <c r="J34" s="423"/>
      <c r="K34" s="423"/>
      <c r="L34" s="424"/>
      <c r="M34" s="314"/>
      <c r="N34" s="98"/>
      <c r="O34" s="313"/>
      <c r="P34" s="82"/>
      <c r="Q34" s="82"/>
      <c r="R34" s="82"/>
      <c r="S34" s="82"/>
      <c r="T34" s="82"/>
      <c r="U34" s="82"/>
      <c r="V34" s="82"/>
      <c r="W34" s="82"/>
      <c r="X34" s="82"/>
      <c r="Y34" s="82"/>
      <c r="Z34" s="314"/>
      <c r="AA34" s="112"/>
      <c r="AB34" s="15"/>
      <c r="AC34" s="15"/>
      <c r="AD34" s="15"/>
      <c r="AE34" s="15"/>
      <c r="AF34" s="15"/>
      <c r="AG34" s="15"/>
      <c r="AH34" s="15"/>
    </row>
    <row r="35" spans="1:34" ht="12.95" customHeight="1" x14ac:dyDescent="0.25">
      <c r="A35" s="112"/>
      <c r="B35" s="313"/>
      <c r="C35" s="336"/>
      <c r="D35" s="148" t="s">
        <v>106</v>
      </c>
      <c r="E35" s="45"/>
      <c r="F35" s="45"/>
      <c r="G35" s="45"/>
      <c r="H35" s="308"/>
      <c r="I35" s="422"/>
      <c r="J35" s="423"/>
      <c r="K35" s="423"/>
      <c r="L35" s="424"/>
      <c r="M35" s="314"/>
      <c r="N35" s="112"/>
      <c r="O35" s="313"/>
      <c r="P35" s="82"/>
      <c r="Q35" s="82"/>
      <c r="R35" s="81" t="s">
        <v>115</v>
      </c>
      <c r="S35" s="82"/>
      <c r="T35" s="82"/>
      <c r="U35" s="82"/>
      <c r="V35" s="82"/>
      <c r="W35" s="82"/>
      <c r="X35" s="82"/>
      <c r="Y35" s="307">
        <v>0</v>
      </c>
      <c r="Z35" s="314"/>
      <c r="AA35" s="112"/>
      <c r="AB35" s="15"/>
      <c r="AC35" s="15"/>
      <c r="AD35" s="15"/>
      <c r="AE35" s="15"/>
      <c r="AF35" s="15"/>
      <c r="AG35" s="15"/>
      <c r="AH35" s="15"/>
    </row>
    <row r="36" spans="1:34" ht="3" customHeight="1" x14ac:dyDescent="0.25">
      <c r="A36" s="112"/>
      <c r="B36" s="313"/>
      <c r="C36" s="337"/>
      <c r="D36" s="87"/>
      <c r="E36" s="87"/>
      <c r="F36" s="87"/>
      <c r="G36" s="87"/>
      <c r="H36" s="98"/>
      <c r="I36" s="422"/>
      <c r="J36" s="423"/>
      <c r="K36" s="423"/>
      <c r="L36" s="424"/>
      <c r="M36" s="314"/>
      <c r="N36" s="98"/>
      <c r="O36" s="313"/>
      <c r="P36" s="82"/>
      <c r="Q36" s="82"/>
      <c r="R36" s="82"/>
      <c r="S36" s="82"/>
      <c r="T36" s="82"/>
      <c r="U36" s="82"/>
      <c r="V36" s="82"/>
      <c r="W36" s="82"/>
      <c r="X36" s="82"/>
      <c r="Y36" s="82"/>
      <c r="Z36" s="314"/>
      <c r="AA36" s="112"/>
      <c r="AB36" s="15"/>
      <c r="AC36" s="15"/>
      <c r="AD36" s="15"/>
      <c r="AE36" s="15"/>
      <c r="AF36" s="15"/>
      <c r="AG36" s="15"/>
      <c r="AH36" s="15"/>
    </row>
    <row r="37" spans="1:34" ht="12.95" customHeight="1" x14ac:dyDescent="0.25">
      <c r="A37" s="112"/>
      <c r="B37" s="313"/>
      <c r="C37" s="336"/>
      <c r="D37" s="148" t="s">
        <v>103</v>
      </c>
      <c r="E37" s="45"/>
      <c r="F37" s="45"/>
      <c r="G37" s="45"/>
      <c r="H37" s="308"/>
      <c r="I37" s="422"/>
      <c r="J37" s="423"/>
      <c r="K37" s="423"/>
      <c r="L37" s="424"/>
      <c r="M37" s="314"/>
      <c r="N37" s="112"/>
      <c r="O37" s="313"/>
      <c r="P37" s="82"/>
      <c r="Q37" s="82"/>
      <c r="R37" s="81" t="s">
        <v>34</v>
      </c>
      <c r="S37" s="82"/>
      <c r="T37" s="82"/>
      <c r="U37" s="82"/>
      <c r="V37" s="82"/>
      <c r="W37" s="82"/>
      <c r="X37" s="82"/>
      <c r="Y37" s="307">
        <v>0</v>
      </c>
      <c r="Z37" s="314"/>
      <c r="AA37" s="112"/>
      <c r="AB37" s="15"/>
      <c r="AC37" s="15"/>
      <c r="AD37" s="15"/>
      <c r="AE37" s="15"/>
      <c r="AF37" s="15"/>
      <c r="AG37" s="15"/>
      <c r="AH37" s="15"/>
    </row>
    <row r="38" spans="1:34" ht="3" customHeight="1" x14ac:dyDescent="0.25">
      <c r="A38" s="112"/>
      <c r="B38" s="313"/>
      <c r="C38" s="337"/>
      <c r="D38" s="87"/>
      <c r="E38" s="87"/>
      <c r="F38" s="87"/>
      <c r="G38" s="87"/>
      <c r="H38" s="98"/>
      <c r="I38" s="422"/>
      <c r="J38" s="423"/>
      <c r="K38" s="423"/>
      <c r="L38" s="424"/>
      <c r="M38" s="314"/>
      <c r="N38" s="98"/>
      <c r="O38" s="313"/>
      <c r="P38" s="82"/>
      <c r="Q38" s="82"/>
      <c r="R38" s="82"/>
      <c r="S38" s="82"/>
      <c r="T38" s="82"/>
      <c r="U38" s="82"/>
      <c r="V38" s="82"/>
      <c r="W38" s="82"/>
      <c r="X38" s="82"/>
      <c r="Y38" s="82"/>
      <c r="Z38" s="314"/>
      <c r="AA38" s="112"/>
      <c r="AB38" s="15"/>
      <c r="AC38" s="15"/>
      <c r="AD38" s="15"/>
      <c r="AE38" s="15"/>
      <c r="AF38" s="15"/>
      <c r="AG38" s="15"/>
      <c r="AH38" s="15"/>
    </row>
    <row r="39" spans="1:34" ht="12.95" customHeight="1" x14ac:dyDescent="0.25">
      <c r="A39" s="112"/>
      <c r="B39" s="313"/>
      <c r="C39" s="336"/>
      <c r="D39" s="148" t="s">
        <v>104</v>
      </c>
      <c r="E39" s="45"/>
      <c r="F39" s="45"/>
      <c r="G39" s="45"/>
      <c r="H39" s="308"/>
      <c r="I39" s="425"/>
      <c r="J39" s="426"/>
      <c r="K39" s="426"/>
      <c r="L39" s="427"/>
      <c r="M39" s="314"/>
      <c r="N39" s="112"/>
      <c r="O39" s="313"/>
      <c r="P39" s="82"/>
      <c r="Q39" s="82"/>
      <c r="R39" s="432" t="s">
        <v>35</v>
      </c>
      <c r="S39" s="432"/>
      <c r="T39" s="432"/>
      <c r="U39" s="432"/>
      <c r="V39" s="432"/>
      <c r="W39" s="432"/>
      <c r="X39" s="432"/>
      <c r="Y39" s="307">
        <v>0</v>
      </c>
      <c r="Z39" s="314"/>
      <c r="AA39" s="112"/>
      <c r="AB39" s="15"/>
      <c r="AC39" s="15"/>
      <c r="AD39" s="15"/>
      <c r="AE39" s="15"/>
      <c r="AF39" s="15"/>
      <c r="AG39" s="15"/>
      <c r="AH39" s="15"/>
    </row>
    <row r="40" spans="1:34" ht="3" customHeight="1" x14ac:dyDescent="0.25">
      <c r="A40" s="112"/>
      <c r="B40" s="313"/>
      <c r="C40" s="337"/>
      <c r="D40" s="87"/>
      <c r="E40" s="87"/>
      <c r="F40" s="87"/>
      <c r="G40" s="87"/>
      <c r="H40" s="98"/>
      <c r="I40" s="113"/>
      <c r="J40" s="113"/>
      <c r="K40" s="113"/>
      <c r="L40" s="325"/>
      <c r="M40" s="314"/>
      <c r="N40" s="98"/>
      <c r="O40" s="313"/>
      <c r="P40" s="82"/>
      <c r="Q40" s="82"/>
      <c r="R40" s="82"/>
      <c r="S40" s="82"/>
      <c r="T40" s="82"/>
      <c r="U40" s="82"/>
      <c r="V40" s="82"/>
      <c r="W40" s="82"/>
      <c r="X40" s="82"/>
      <c r="Y40" s="82"/>
      <c r="Z40" s="314"/>
      <c r="AA40" s="112"/>
      <c r="AB40" s="15"/>
      <c r="AC40" s="15"/>
      <c r="AD40" s="15"/>
      <c r="AE40" s="15"/>
      <c r="AF40" s="15"/>
      <c r="AG40" s="15"/>
      <c r="AH40" s="15"/>
    </row>
    <row r="41" spans="1:34" ht="12.95" customHeight="1" x14ac:dyDescent="0.25">
      <c r="A41" s="112"/>
      <c r="B41" s="313"/>
      <c r="C41" s="336"/>
      <c r="D41" s="148" t="s">
        <v>105</v>
      </c>
      <c r="E41" s="45"/>
      <c r="F41" s="45"/>
      <c r="G41" s="45"/>
      <c r="H41" s="308"/>
      <c r="I41" s="113"/>
      <c r="J41" s="113"/>
      <c r="K41" s="113"/>
      <c r="L41" s="325"/>
      <c r="M41" s="314"/>
      <c r="N41" s="112"/>
      <c r="O41" s="313"/>
      <c r="P41" s="82"/>
      <c r="Q41" s="82"/>
      <c r="R41" s="432" t="s">
        <v>36</v>
      </c>
      <c r="S41" s="432"/>
      <c r="T41" s="432"/>
      <c r="U41" s="432"/>
      <c r="V41" s="432"/>
      <c r="W41" s="432"/>
      <c r="X41" s="432"/>
      <c r="Y41" s="307">
        <v>0</v>
      </c>
      <c r="Z41" s="314"/>
      <c r="AA41" s="112"/>
      <c r="AB41" s="15"/>
      <c r="AC41" s="15"/>
      <c r="AD41" s="15"/>
      <c r="AE41" s="15"/>
      <c r="AF41" s="15"/>
      <c r="AG41" s="15"/>
      <c r="AH41" s="15"/>
    </row>
    <row r="42" spans="1:34" ht="4.5" customHeight="1" x14ac:dyDescent="0.25">
      <c r="A42" s="112"/>
      <c r="B42" s="313"/>
      <c r="C42" s="338"/>
      <c r="D42" s="339"/>
      <c r="E42" s="339"/>
      <c r="F42" s="339"/>
      <c r="G42" s="339"/>
      <c r="H42" s="339"/>
      <c r="I42" s="331"/>
      <c r="J42" s="331"/>
      <c r="K42" s="331"/>
      <c r="L42" s="340"/>
      <c r="M42" s="314"/>
      <c r="N42" s="98"/>
      <c r="O42" s="313"/>
      <c r="P42" s="82"/>
      <c r="Q42" s="82"/>
      <c r="R42" s="82"/>
      <c r="S42" s="82"/>
      <c r="T42" s="82"/>
      <c r="U42" s="82"/>
      <c r="V42" s="82"/>
      <c r="W42" s="82"/>
      <c r="X42" s="82"/>
      <c r="Y42" s="82"/>
      <c r="Z42" s="314"/>
      <c r="AA42" s="112"/>
      <c r="AB42" s="15"/>
      <c r="AC42" s="15"/>
      <c r="AD42" s="15"/>
      <c r="AE42" s="15"/>
      <c r="AF42" s="15"/>
      <c r="AG42" s="15"/>
      <c r="AH42" s="15"/>
    </row>
    <row r="43" spans="1:34" ht="3" customHeight="1" x14ac:dyDescent="0.25">
      <c r="A43" s="112"/>
      <c r="B43" s="313"/>
      <c r="C43" s="113"/>
      <c r="D43" s="113"/>
      <c r="E43" s="113"/>
      <c r="F43" s="113"/>
      <c r="G43" s="113"/>
      <c r="H43" s="113"/>
      <c r="I43" s="113"/>
      <c r="J43" s="113"/>
      <c r="K43" s="113"/>
      <c r="L43" s="113"/>
      <c r="M43" s="314"/>
      <c r="N43" s="98"/>
      <c r="O43" s="313"/>
      <c r="P43" s="82"/>
      <c r="Q43" s="82"/>
      <c r="R43" s="82"/>
      <c r="S43" s="82"/>
      <c r="T43" s="82"/>
      <c r="U43" s="82"/>
      <c r="V43" s="82"/>
      <c r="W43" s="82"/>
      <c r="X43" s="82"/>
      <c r="Y43" s="82"/>
      <c r="Z43" s="314"/>
      <c r="AA43" s="112"/>
      <c r="AB43" s="15"/>
      <c r="AC43" s="15"/>
      <c r="AD43" s="15"/>
      <c r="AE43" s="15"/>
      <c r="AF43" s="15"/>
      <c r="AG43" s="15"/>
      <c r="AH43" s="15"/>
    </row>
    <row r="44" spans="1:34" ht="15" x14ac:dyDescent="0.25">
      <c r="A44" s="112"/>
      <c r="B44" s="313"/>
      <c r="C44" s="332"/>
      <c r="D44" s="439" t="s">
        <v>123</v>
      </c>
      <c r="E44" s="439"/>
      <c r="F44" s="439"/>
      <c r="G44" s="439"/>
      <c r="H44" s="439"/>
      <c r="I44" s="439"/>
      <c r="J44" s="457" t="s">
        <v>174</v>
      </c>
      <c r="K44" s="457"/>
      <c r="L44" s="458"/>
      <c r="M44" s="314"/>
      <c r="N44" s="112"/>
      <c r="O44" s="313"/>
      <c r="P44" s="82"/>
      <c r="Q44" s="433" t="s">
        <v>59</v>
      </c>
      <c r="R44" s="433"/>
      <c r="S44" s="433"/>
      <c r="T44" s="433"/>
      <c r="U44" s="433"/>
      <c r="V44" s="433"/>
      <c r="W44" s="433"/>
      <c r="X44" s="433"/>
      <c r="Y44" s="433"/>
      <c r="Z44" s="314"/>
      <c r="AA44" s="112"/>
      <c r="AB44" s="15"/>
      <c r="AC44" s="15"/>
      <c r="AD44" s="15"/>
      <c r="AE44" s="15"/>
      <c r="AF44" s="15"/>
      <c r="AG44" s="15"/>
      <c r="AH44" s="15"/>
    </row>
    <row r="45" spans="1:34" ht="3" customHeight="1" x14ac:dyDescent="0.25">
      <c r="A45" s="112"/>
      <c r="B45" s="313"/>
      <c r="C45" s="337"/>
      <c r="D45" s="87"/>
      <c r="E45" s="87"/>
      <c r="F45" s="87"/>
      <c r="G45" s="87"/>
      <c r="H45" s="87"/>
      <c r="I45" s="87"/>
      <c r="J45" s="87"/>
      <c r="K45" s="87"/>
      <c r="L45" s="325"/>
      <c r="M45" s="314"/>
      <c r="N45" s="98"/>
      <c r="O45" s="313"/>
      <c r="P45" s="82"/>
      <c r="Q45" s="82"/>
      <c r="R45" s="82"/>
      <c r="S45" s="82"/>
      <c r="T45" s="82"/>
      <c r="U45" s="82"/>
      <c r="V45" s="82"/>
      <c r="W45" s="82"/>
      <c r="X45" s="82"/>
      <c r="Y45" s="82"/>
      <c r="Z45" s="314"/>
      <c r="AA45" s="112"/>
      <c r="AB45" s="15"/>
      <c r="AC45" s="15"/>
      <c r="AD45" s="15"/>
      <c r="AE45" s="15"/>
      <c r="AF45" s="15"/>
      <c r="AG45" s="15"/>
      <c r="AH45" s="15"/>
    </row>
    <row r="46" spans="1:34" ht="17.25" customHeight="1" x14ac:dyDescent="0.25">
      <c r="A46" s="112"/>
      <c r="B46" s="313"/>
      <c r="C46" s="336"/>
      <c r="D46" s="454" t="s">
        <v>109</v>
      </c>
      <c r="E46" s="454"/>
      <c r="F46" s="454"/>
      <c r="G46" s="454"/>
      <c r="H46" s="454"/>
      <c r="I46" s="454"/>
      <c r="J46" s="309" t="s">
        <v>8</v>
      </c>
      <c r="K46" s="82"/>
      <c r="L46" s="325"/>
      <c r="M46" s="314"/>
      <c r="N46" s="112"/>
      <c r="O46" s="313"/>
      <c r="P46" s="82"/>
      <c r="Q46" s="82"/>
      <c r="R46" s="82" t="s">
        <v>61</v>
      </c>
      <c r="S46" s="82"/>
      <c r="T46" s="82"/>
      <c r="U46" s="82"/>
      <c r="V46" s="82"/>
      <c r="W46" s="82"/>
      <c r="X46" s="82"/>
      <c r="Y46" s="307">
        <v>1</v>
      </c>
      <c r="Z46" s="314"/>
      <c r="AA46" s="112"/>
      <c r="AB46" s="15"/>
      <c r="AC46" s="15"/>
      <c r="AD46" s="15"/>
      <c r="AE46" s="15"/>
      <c r="AF46" s="15"/>
      <c r="AG46" s="15"/>
      <c r="AH46" s="15"/>
    </row>
    <row r="47" spans="1:34" ht="3" customHeight="1" x14ac:dyDescent="0.2">
      <c r="A47" s="112"/>
      <c r="B47" s="313"/>
      <c r="C47" s="336"/>
      <c r="D47" s="82"/>
      <c r="E47" s="82"/>
      <c r="F47" s="82"/>
      <c r="G47" s="82"/>
      <c r="H47" s="82"/>
      <c r="I47" s="82"/>
      <c r="J47" s="82"/>
      <c r="K47" s="82"/>
      <c r="L47" s="325"/>
      <c r="M47" s="314"/>
      <c r="N47" s="112"/>
      <c r="O47" s="313"/>
      <c r="P47" s="82"/>
      <c r="Q47" s="82"/>
      <c r="R47" s="82"/>
      <c r="S47" s="82"/>
      <c r="T47" s="82"/>
      <c r="U47" s="82"/>
      <c r="V47" s="82"/>
      <c r="W47" s="82"/>
      <c r="X47" s="82"/>
      <c r="Y47" s="152"/>
      <c r="Z47" s="314"/>
      <c r="AA47" s="112"/>
      <c r="AB47" s="15"/>
      <c r="AC47" s="15"/>
      <c r="AD47" s="15"/>
      <c r="AE47" s="15"/>
      <c r="AF47" s="15"/>
      <c r="AG47" s="15"/>
      <c r="AH47" s="15"/>
    </row>
    <row r="48" spans="1:34" ht="15.75" customHeight="1" x14ac:dyDescent="0.25">
      <c r="A48" s="112"/>
      <c r="B48" s="313"/>
      <c r="C48" s="336"/>
      <c r="D48" s="451" t="s">
        <v>110</v>
      </c>
      <c r="E48" s="451"/>
      <c r="F48" s="451"/>
      <c r="G48" s="451"/>
      <c r="H48" s="451"/>
      <c r="I48" s="451"/>
      <c r="J48" s="398"/>
      <c r="K48" s="82"/>
      <c r="L48" s="452" t="s">
        <v>119</v>
      </c>
      <c r="M48" s="314"/>
      <c r="N48" s="112"/>
      <c r="O48" s="313"/>
      <c r="P48" s="82"/>
      <c r="Q48" s="82"/>
      <c r="R48" s="81" t="s">
        <v>37</v>
      </c>
      <c r="S48" s="82"/>
      <c r="T48" s="82"/>
      <c r="U48" s="82"/>
      <c r="V48" s="82"/>
      <c r="W48" s="82"/>
      <c r="X48" s="82"/>
      <c r="Y48" s="307">
        <v>0</v>
      </c>
      <c r="Z48" s="314"/>
      <c r="AA48" s="112"/>
      <c r="AB48" s="15"/>
      <c r="AC48" s="15"/>
      <c r="AD48" s="15"/>
      <c r="AE48" s="15"/>
      <c r="AF48" s="15"/>
      <c r="AG48" s="15"/>
      <c r="AH48" s="15"/>
    </row>
    <row r="49" spans="1:40" ht="3" customHeight="1" x14ac:dyDescent="0.2">
      <c r="A49" s="112"/>
      <c r="B49" s="313"/>
      <c r="C49" s="336"/>
      <c r="D49" s="153"/>
      <c r="E49" s="153"/>
      <c r="F49" s="153"/>
      <c r="G49" s="153"/>
      <c r="H49" s="153"/>
      <c r="I49" s="153"/>
      <c r="J49" s="152"/>
      <c r="K49" s="82"/>
      <c r="L49" s="452"/>
      <c r="M49" s="314"/>
      <c r="N49" s="112"/>
      <c r="O49" s="313"/>
      <c r="P49" s="82"/>
      <c r="Q49" s="82"/>
      <c r="R49" s="81"/>
      <c r="S49" s="82"/>
      <c r="T49" s="82"/>
      <c r="U49" s="82"/>
      <c r="V49" s="82"/>
      <c r="W49" s="82"/>
      <c r="X49" s="82"/>
      <c r="Y49" s="152"/>
      <c r="Z49" s="314"/>
      <c r="AA49" s="112"/>
      <c r="AB49" s="15"/>
      <c r="AC49" s="15"/>
      <c r="AD49" s="15"/>
      <c r="AE49" s="15"/>
      <c r="AF49" s="15"/>
      <c r="AG49" s="15"/>
      <c r="AH49" s="15"/>
    </row>
    <row r="50" spans="1:40" ht="15" x14ac:dyDescent="0.25">
      <c r="A50" s="112"/>
      <c r="B50" s="313"/>
      <c r="C50" s="336"/>
      <c r="D50" s="451" t="s">
        <v>113</v>
      </c>
      <c r="E50" s="451"/>
      <c r="F50" s="451"/>
      <c r="G50" s="451"/>
      <c r="H50" s="451"/>
      <c r="I50" s="451"/>
      <c r="J50" s="398">
        <v>383</v>
      </c>
      <c r="K50" s="82"/>
      <c r="L50" s="452"/>
      <c r="M50" s="314"/>
      <c r="N50" s="112"/>
      <c r="O50" s="313"/>
      <c r="P50" s="82"/>
      <c r="Q50" s="82"/>
      <c r="R50" s="81" t="s">
        <v>38</v>
      </c>
      <c r="S50" s="82"/>
      <c r="T50" s="82"/>
      <c r="U50" s="82"/>
      <c r="V50" s="82"/>
      <c r="W50" s="82"/>
      <c r="X50" s="82"/>
      <c r="Y50" s="307">
        <v>0</v>
      </c>
      <c r="Z50" s="314"/>
      <c r="AA50" s="112"/>
      <c r="AB50" s="15"/>
      <c r="AC50" s="15"/>
      <c r="AD50" s="15"/>
      <c r="AE50" s="15"/>
      <c r="AF50" s="15"/>
      <c r="AG50" s="15"/>
      <c r="AH50" s="15"/>
    </row>
    <row r="51" spans="1:40" ht="3" customHeight="1" x14ac:dyDescent="0.2">
      <c r="A51" s="112"/>
      <c r="B51" s="313"/>
      <c r="C51" s="336"/>
      <c r="D51" s="153"/>
      <c r="E51" s="153"/>
      <c r="F51" s="153"/>
      <c r="G51" s="153"/>
      <c r="H51" s="153"/>
      <c r="I51" s="153"/>
      <c r="J51" s="152"/>
      <c r="K51" s="82"/>
      <c r="L51" s="452"/>
      <c r="M51" s="314"/>
      <c r="N51" s="112"/>
      <c r="O51" s="313"/>
      <c r="P51" s="82"/>
      <c r="Q51" s="82"/>
      <c r="R51" s="82"/>
      <c r="S51" s="82"/>
      <c r="T51" s="82"/>
      <c r="U51" s="82"/>
      <c r="V51" s="82"/>
      <c r="W51" s="82"/>
      <c r="X51" s="82"/>
      <c r="Y51" s="152"/>
      <c r="Z51" s="314"/>
      <c r="AA51" s="112"/>
      <c r="AB51" s="15"/>
      <c r="AC51" s="15"/>
      <c r="AD51" s="15"/>
      <c r="AE51" s="15"/>
      <c r="AF51" s="15"/>
      <c r="AG51" s="15"/>
      <c r="AH51" s="15"/>
    </row>
    <row r="52" spans="1:40" ht="15" x14ac:dyDescent="0.25">
      <c r="A52" s="112"/>
      <c r="B52" s="313"/>
      <c r="C52" s="336"/>
      <c r="D52" s="451" t="s">
        <v>111</v>
      </c>
      <c r="E52" s="451"/>
      <c r="F52" s="451"/>
      <c r="G52" s="451"/>
      <c r="H52" s="451"/>
      <c r="I52" s="451"/>
      <c r="J52" s="398"/>
      <c r="K52" s="82"/>
      <c r="L52" s="452"/>
      <c r="M52" s="314"/>
      <c r="N52" s="112"/>
      <c r="O52" s="313"/>
      <c r="P52" s="82"/>
      <c r="Q52" s="82"/>
      <c r="R52" s="432" t="s">
        <v>39</v>
      </c>
      <c r="S52" s="432"/>
      <c r="T52" s="432"/>
      <c r="U52" s="432"/>
      <c r="V52" s="432"/>
      <c r="W52" s="432"/>
      <c r="X52" s="432"/>
      <c r="Y52" s="307">
        <v>0</v>
      </c>
      <c r="Z52" s="314"/>
      <c r="AA52" s="112"/>
      <c r="AB52" s="15"/>
      <c r="AD52" s="15"/>
      <c r="AE52" s="15"/>
      <c r="AF52" s="15"/>
      <c r="AG52" s="15"/>
      <c r="AH52" s="15"/>
    </row>
    <row r="53" spans="1:40" ht="3" customHeight="1" x14ac:dyDescent="0.2">
      <c r="A53" s="112"/>
      <c r="B53" s="313"/>
      <c r="C53" s="336"/>
      <c r="D53" s="153"/>
      <c r="E53" s="153"/>
      <c r="F53" s="153"/>
      <c r="G53" s="153"/>
      <c r="H53" s="153"/>
      <c r="I53" s="153"/>
      <c r="J53" s="152"/>
      <c r="K53" s="82"/>
      <c r="L53" s="452"/>
      <c r="M53" s="314"/>
      <c r="N53" s="112"/>
      <c r="O53" s="313"/>
      <c r="P53" s="82"/>
      <c r="Q53" s="82"/>
      <c r="R53" s="153"/>
      <c r="S53" s="153"/>
      <c r="T53" s="153"/>
      <c r="U53" s="153"/>
      <c r="V53" s="153"/>
      <c r="W53" s="153"/>
      <c r="X53" s="153"/>
      <c r="Y53" s="152"/>
      <c r="Z53" s="314"/>
      <c r="AA53" s="112"/>
      <c r="AB53" s="15"/>
      <c r="AC53" s="15"/>
      <c r="AD53" s="15"/>
      <c r="AE53" s="15"/>
      <c r="AF53" s="15"/>
      <c r="AG53" s="15"/>
      <c r="AH53" s="15"/>
    </row>
    <row r="54" spans="1:40" ht="15.75" thickBot="1" x14ac:dyDescent="0.3">
      <c r="A54" s="112"/>
      <c r="B54" s="313"/>
      <c r="C54" s="336"/>
      <c r="D54" s="451" t="s">
        <v>114</v>
      </c>
      <c r="E54" s="451"/>
      <c r="F54" s="451"/>
      <c r="G54" s="451"/>
      <c r="H54" s="451"/>
      <c r="I54" s="451"/>
      <c r="J54" s="398"/>
      <c r="K54" s="82"/>
      <c r="L54" s="452"/>
      <c r="M54" s="314"/>
      <c r="N54" s="112"/>
      <c r="O54" s="315"/>
      <c r="P54" s="316"/>
      <c r="Q54" s="316"/>
      <c r="R54" s="431" t="s">
        <v>40</v>
      </c>
      <c r="S54" s="431"/>
      <c r="T54" s="431"/>
      <c r="U54" s="431"/>
      <c r="V54" s="431"/>
      <c r="W54" s="431"/>
      <c r="X54" s="431"/>
      <c r="Y54" s="317">
        <v>0</v>
      </c>
      <c r="Z54" s="318"/>
      <c r="AA54" s="112"/>
      <c r="AB54" s="15"/>
      <c r="AD54" s="15"/>
      <c r="AE54" s="15"/>
      <c r="AF54" s="15"/>
      <c r="AG54" s="15"/>
      <c r="AH54" s="15"/>
    </row>
    <row r="55" spans="1:40" ht="3" customHeight="1" x14ac:dyDescent="0.2">
      <c r="A55" s="112"/>
      <c r="B55" s="313"/>
      <c r="C55" s="336"/>
      <c r="D55" s="153"/>
      <c r="E55" s="153"/>
      <c r="F55" s="153"/>
      <c r="G55" s="153"/>
      <c r="H55" s="153"/>
      <c r="I55" s="153"/>
      <c r="J55" s="152"/>
      <c r="K55" s="82"/>
      <c r="L55" s="452"/>
      <c r="M55" s="314"/>
      <c r="N55" s="112"/>
      <c r="O55" s="113"/>
      <c r="P55" s="113"/>
      <c r="Q55" s="113"/>
      <c r="R55" s="113"/>
      <c r="S55" s="113"/>
      <c r="T55" s="113"/>
      <c r="U55" s="113"/>
      <c r="V55" s="113"/>
      <c r="W55" s="113"/>
      <c r="X55" s="113"/>
      <c r="Y55" s="113"/>
      <c r="Z55" s="113"/>
      <c r="AA55" s="112"/>
      <c r="AB55" s="15"/>
      <c r="AC55" s="15"/>
      <c r="AD55" s="15"/>
      <c r="AE55" s="15"/>
      <c r="AF55" s="15"/>
      <c r="AG55" s="15"/>
      <c r="AH55" s="15"/>
    </row>
    <row r="56" spans="1:40" ht="15" x14ac:dyDescent="0.25">
      <c r="A56" s="112"/>
      <c r="B56" s="313"/>
      <c r="C56" s="336"/>
      <c r="D56" s="451" t="s">
        <v>112</v>
      </c>
      <c r="E56" s="451"/>
      <c r="F56" s="451"/>
      <c r="G56" s="451"/>
      <c r="H56" s="451"/>
      <c r="I56" s="451"/>
      <c r="J56" s="398"/>
      <c r="K56" s="82"/>
      <c r="L56" s="452"/>
      <c r="M56" s="314"/>
      <c r="N56" s="112"/>
      <c r="O56" s="112"/>
      <c r="P56" s="112"/>
      <c r="Q56" s="112"/>
      <c r="R56" s="112"/>
      <c r="S56" s="112"/>
      <c r="T56" s="112"/>
      <c r="U56" s="112"/>
      <c r="V56" s="112"/>
      <c r="W56" s="112"/>
      <c r="X56" s="112"/>
      <c r="Y56" s="112"/>
      <c r="Z56" s="112"/>
      <c r="AA56" s="112"/>
      <c r="AB56" s="15"/>
      <c r="AC56" s="15"/>
      <c r="AD56" s="15"/>
      <c r="AE56" s="15"/>
      <c r="AF56" s="15"/>
      <c r="AG56" s="15"/>
      <c r="AH56" s="15"/>
    </row>
    <row r="57" spans="1:40" ht="3" customHeight="1" x14ac:dyDescent="0.2">
      <c r="A57" s="112"/>
      <c r="B57" s="313"/>
      <c r="C57" s="338"/>
      <c r="D57" s="339"/>
      <c r="E57" s="339"/>
      <c r="F57" s="339"/>
      <c r="G57" s="339"/>
      <c r="H57" s="339"/>
      <c r="I57" s="339"/>
      <c r="J57" s="339"/>
      <c r="K57" s="339"/>
      <c r="L57" s="453"/>
      <c r="M57" s="314"/>
      <c r="N57" s="112"/>
      <c r="O57" s="112"/>
      <c r="P57" s="112"/>
      <c r="Q57" s="112"/>
      <c r="R57" s="112"/>
      <c r="S57" s="112"/>
      <c r="T57" s="112"/>
      <c r="U57" s="112"/>
      <c r="V57" s="112"/>
      <c r="W57" s="112"/>
      <c r="X57" s="112"/>
      <c r="Y57" s="112"/>
      <c r="Z57" s="112"/>
      <c r="AA57" s="112"/>
      <c r="AB57" s="15"/>
      <c r="AC57" s="15"/>
      <c r="AD57" s="15"/>
      <c r="AE57" s="15"/>
    </row>
    <row r="58" spans="1:40" ht="7.5" customHeight="1" thickBot="1" x14ac:dyDescent="0.25">
      <c r="A58" s="112"/>
      <c r="B58" s="315"/>
      <c r="C58" s="320"/>
      <c r="D58" s="320"/>
      <c r="E58" s="320"/>
      <c r="F58" s="320"/>
      <c r="G58" s="320"/>
      <c r="H58" s="320"/>
      <c r="I58" s="320"/>
      <c r="J58" s="320"/>
      <c r="K58" s="320"/>
      <c r="L58" s="320"/>
      <c r="M58" s="318"/>
      <c r="N58" s="112"/>
      <c r="O58" s="112"/>
      <c r="P58" s="112"/>
      <c r="Q58" s="112"/>
      <c r="R58" s="112"/>
      <c r="S58" s="112"/>
      <c r="T58" s="112"/>
      <c r="U58" s="112"/>
      <c r="V58" s="112"/>
      <c r="W58" s="112"/>
      <c r="X58" s="112"/>
      <c r="Y58" s="112"/>
      <c r="Z58" s="112"/>
      <c r="AA58" s="112"/>
      <c r="AB58" s="15"/>
      <c r="AC58" s="15"/>
      <c r="AD58" s="15"/>
      <c r="AE58" s="15"/>
    </row>
    <row r="59" spans="1:40" ht="6.75" customHeight="1" x14ac:dyDescent="0.2">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5"/>
      <c r="AC59" s="15"/>
      <c r="AD59" s="15"/>
      <c r="AE59" s="15"/>
    </row>
    <row r="60" spans="1:40" ht="12.9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4"/>
      <c r="Y60" s="15"/>
      <c r="Z60" s="15"/>
      <c r="AA60" s="15"/>
      <c r="AB60" s="15"/>
      <c r="AC60" s="15"/>
      <c r="AD60" s="15"/>
      <c r="AE60" s="15"/>
      <c r="AF60" s="155" t="s">
        <v>124</v>
      </c>
      <c r="AG60" s="156"/>
      <c r="AH60" s="156"/>
      <c r="AI60" s="443">
        <f>+E16+23741</f>
        <v>47553</v>
      </c>
      <c r="AJ60" s="443"/>
    </row>
    <row r="61" spans="1:40" ht="12.9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row>
    <row r="62" spans="1:40" ht="12.9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5" t="s">
        <v>97</v>
      </c>
      <c r="AG62" s="156"/>
      <c r="AH62" s="156"/>
      <c r="AI62" s="156"/>
      <c r="AJ62" s="157" t="str">
        <f>CONCATENATE(ROUNDDOWN((+E18-E16)/365.25,0)," años ",ROUNDDOWN(((((+E18-E16)/365.25)-(ROUNDDOWN((+E18-E16)/365.25,0)))*12),0)," meses ",ROUNDUP((((((+E18-E16)/365.25)-(ROUNDDOWN((+E18-E16)/365.25,0)))*12)-(ROUNDDOWN(((((+E18-E16)/365.25)-(ROUNDDOWN((+E18-E16)/365.25,0)))*12),0)))*30.4375,0)," días.")</f>
        <v>60 años 0 meses 0 días.</v>
      </c>
      <c r="AM62" s="13"/>
      <c r="AN62" s="13"/>
    </row>
    <row r="63" spans="1:40" ht="12.9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row>
    <row r="64" spans="1:40" ht="12.9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Y64" s="15"/>
      <c r="Z64" s="15"/>
      <c r="AA64" s="15"/>
      <c r="AB64" s="15"/>
      <c r="AC64" s="15"/>
      <c r="AD64" s="15"/>
      <c r="AE64" s="15"/>
      <c r="AF64" s="1" t="s">
        <v>165</v>
      </c>
      <c r="AH64" s="285">
        <f>IF(OR(E12=AF69,E12=AF70),+AI60-E18,0)</f>
        <v>0</v>
      </c>
      <c r="AI64" s="121"/>
      <c r="AJ64" s="122" t="str">
        <f>IF(AH64&gt;0,CONCATENATE(ROUNDDOWN((AH64)/365.25,0)," años ",ROUNDDOWN(((((AH64)/365.25)-(ROUNDDOWN((AH64)/365.25,0)))*12),0)," meses ",ROUNDUP((((((AH64)/365.25)-(ROUNDDOWN((AH64)/365.25,0)))*12)-(ROUNDDOWN(((((AH64)/365.25)-(ROUNDDOWN((AH64)/365.25,0)))*12),0)))*30.4375,0)," días.")," ")</f>
        <v xml:space="preserve"> </v>
      </c>
    </row>
    <row r="65" spans="1:34" ht="12.9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row>
    <row r="66" spans="1:34" ht="12.95" customHeight="1"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14" t="s">
        <v>98</v>
      </c>
    </row>
    <row r="67" spans="1:34" ht="12.9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43" t="s">
        <v>207</v>
      </c>
      <c r="AF67" s="2" t="s">
        <v>82</v>
      </c>
    </row>
    <row r="68" spans="1:34" ht="12.9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43" t="s">
        <v>207</v>
      </c>
      <c r="AF68" s="2" t="s">
        <v>81</v>
      </c>
    </row>
    <row r="69" spans="1:34" ht="12.9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2" t="s">
        <v>13</v>
      </c>
    </row>
    <row r="70" spans="1:34" ht="12.9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2" t="s">
        <v>14</v>
      </c>
    </row>
    <row r="71" spans="1:34" ht="12.95" customHeight="1"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14" t="s">
        <v>100</v>
      </c>
      <c r="AH71" s="41" t="s">
        <v>64</v>
      </c>
    </row>
    <row r="72" spans="1:34" ht="12.9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43" t="s">
        <v>2</v>
      </c>
      <c r="AF72" s="348" t="s">
        <v>234</v>
      </c>
      <c r="AH72" s="1" t="str">
        <f>IF(OR(E14=AF72,E14=AF73,E14=AF74,E14=AF75),"A2","A1")</f>
        <v>A2</v>
      </c>
    </row>
    <row r="73" spans="1:34" ht="12.9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43" t="s">
        <v>2</v>
      </c>
      <c r="AF73" s="348" t="s">
        <v>291</v>
      </c>
    </row>
    <row r="74" spans="1:34" ht="12.9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43" t="s">
        <v>2</v>
      </c>
      <c r="AF74" s="348" t="s">
        <v>232</v>
      </c>
    </row>
    <row r="75" spans="1:34" ht="12.9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43" t="s">
        <v>2</v>
      </c>
      <c r="AF75" s="348" t="s">
        <v>233</v>
      </c>
    </row>
    <row r="76" spans="1:34" ht="12.9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43" t="s">
        <v>1</v>
      </c>
      <c r="AF76" s="348" t="s">
        <v>228</v>
      </c>
    </row>
    <row r="77" spans="1:34" ht="12.9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43" t="s">
        <v>1</v>
      </c>
      <c r="AF77" s="348" t="s">
        <v>229</v>
      </c>
    </row>
    <row r="78" spans="1:34" ht="12.95" customHeight="1" x14ac:dyDescent="0.2">
      <c r="AD78" s="15"/>
      <c r="AE78" s="41" t="s">
        <v>1</v>
      </c>
      <c r="AF78" s="348" t="s">
        <v>230</v>
      </c>
    </row>
    <row r="79" spans="1:34" ht="12.95" customHeight="1" x14ac:dyDescent="0.2">
      <c r="AD79" s="15"/>
      <c r="AE79" s="41" t="s">
        <v>1</v>
      </c>
      <c r="AF79" s="348" t="s">
        <v>231</v>
      </c>
    </row>
    <row r="80" spans="1:34" ht="12.95" customHeight="1" x14ac:dyDescent="0.2">
      <c r="AD80" s="15"/>
      <c r="AE80" s="41" t="s">
        <v>1</v>
      </c>
      <c r="AF80" s="348" t="s">
        <v>227</v>
      </c>
    </row>
    <row r="81" spans="30:32" ht="12.95" customHeight="1" x14ac:dyDescent="0.2">
      <c r="AD81" s="15"/>
      <c r="AE81" s="41" t="s">
        <v>1</v>
      </c>
      <c r="AF81" s="348" t="s">
        <v>226</v>
      </c>
    </row>
    <row r="82" spans="30:32" ht="15" x14ac:dyDescent="0.25">
      <c r="AD82" s="15"/>
      <c r="AF82" s="114" t="s">
        <v>101</v>
      </c>
    </row>
    <row r="83" spans="30:32" x14ac:dyDescent="0.2">
      <c r="AD83" s="15"/>
      <c r="AF83" s="2" t="s">
        <v>19</v>
      </c>
    </row>
    <row r="84" spans="30:32" x14ac:dyDescent="0.2">
      <c r="AD84" s="15"/>
      <c r="AF84" s="2" t="s">
        <v>17</v>
      </c>
    </row>
    <row r="85" spans="30:32" ht="15" x14ac:dyDescent="0.25">
      <c r="AF85" s="114" t="s">
        <v>117</v>
      </c>
    </row>
    <row r="86" spans="30:32" x14ac:dyDescent="0.2">
      <c r="AF86" s="2" t="s">
        <v>80</v>
      </c>
    </row>
    <row r="87" spans="30:32" x14ac:dyDescent="0.2">
      <c r="AF87" s="2" t="s">
        <v>118</v>
      </c>
    </row>
    <row r="88" spans="30:32" x14ac:dyDescent="0.2">
      <c r="AF88" s="2"/>
    </row>
    <row r="89" spans="30:32" x14ac:dyDescent="0.2">
      <c r="AF89" s="6" t="s">
        <v>12</v>
      </c>
    </row>
    <row r="90" spans="30:32" x14ac:dyDescent="0.2">
      <c r="AF90" s="6" t="s">
        <v>11</v>
      </c>
    </row>
    <row r="92" spans="30:32" x14ac:dyDescent="0.2">
      <c r="AF92" s="1">
        <v>0</v>
      </c>
    </row>
    <row r="93" spans="30:32" x14ac:dyDescent="0.2">
      <c r="AF93" s="1">
        <v>1</v>
      </c>
    </row>
    <row r="94" spans="30:32" x14ac:dyDescent="0.2">
      <c r="AF94" s="1">
        <v>2</v>
      </c>
    </row>
    <row r="95" spans="30:32" x14ac:dyDescent="0.2">
      <c r="AF95" s="1">
        <v>3</v>
      </c>
    </row>
    <row r="96" spans="30:32" x14ac:dyDescent="0.2">
      <c r="AF96" s="1">
        <v>4</v>
      </c>
    </row>
    <row r="97" spans="32:32" x14ac:dyDescent="0.2">
      <c r="AF97" s="1">
        <v>5</v>
      </c>
    </row>
    <row r="98" spans="32:32" x14ac:dyDescent="0.2">
      <c r="AF98" s="1">
        <v>6</v>
      </c>
    </row>
    <row r="99" spans="32:32" x14ac:dyDescent="0.2">
      <c r="AF99" s="1">
        <v>7</v>
      </c>
    </row>
    <row r="100" spans="32:32" x14ac:dyDescent="0.2">
      <c r="AF100" s="1">
        <v>8</v>
      </c>
    </row>
  </sheetData>
  <sheetProtection algorithmName="SHA-512" hashValue="TF6cZAWy1HegZ8LLSoY1/ws3BWf0TJPi4LZ6pE8YPdK8SHIJxK+OJvrUh65FQ81u+QD48RbzH6E0f36s/7pukg==" saltValue="dk9uP4KCD5uiu+4859oi+g==" spinCount="100000" sheet="1" objects="1" scenarios="1"/>
  <dataConsolidate/>
  <mergeCells count="38">
    <mergeCell ref="AI60:AJ60"/>
    <mergeCell ref="P18:Y18"/>
    <mergeCell ref="P22:Y22"/>
    <mergeCell ref="E20:F20"/>
    <mergeCell ref="D22:E22"/>
    <mergeCell ref="E18:F18"/>
    <mergeCell ref="D50:I50"/>
    <mergeCell ref="D52:I52"/>
    <mergeCell ref="D54:I54"/>
    <mergeCell ref="D56:I56"/>
    <mergeCell ref="L48:L57"/>
    <mergeCell ref="D46:I46"/>
    <mergeCell ref="D25:G25"/>
    <mergeCell ref="E27:F27"/>
    <mergeCell ref="D48:I48"/>
    <mergeCell ref="J44:L44"/>
    <mergeCell ref="C1:Y1"/>
    <mergeCell ref="R54:X54"/>
    <mergeCell ref="R52:X52"/>
    <mergeCell ref="R41:X41"/>
    <mergeCell ref="R39:X39"/>
    <mergeCell ref="Q44:Y44"/>
    <mergeCell ref="Q31:Y31"/>
    <mergeCell ref="Q25:Y25"/>
    <mergeCell ref="P10:Y10"/>
    <mergeCell ref="D7:Y7"/>
    <mergeCell ref="E12:L12"/>
    <mergeCell ref="E14:L14"/>
    <mergeCell ref="C10:L10"/>
    <mergeCell ref="E16:F16"/>
    <mergeCell ref="D44:I44"/>
    <mergeCell ref="E3:X3"/>
    <mergeCell ref="C5:Y5"/>
    <mergeCell ref="R14:V14"/>
    <mergeCell ref="R16:V16"/>
    <mergeCell ref="H20:L20"/>
    <mergeCell ref="I31:L39"/>
    <mergeCell ref="I22:L22"/>
  </mergeCells>
  <dataValidations count="7">
    <dataValidation type="list" allowBlank="1" showInputMessage="1" showErrorMessage="1" sqref="Y50 Y41 Y54 Y52 Y48 Y39 Y37 Y35" xr:uid="{00000000-0002-0000-0000-000000000000}">
      <formula1>$AF$92:$AF$100</formula1>
    </dataValidation>
    <dataValidation type="list" allowBlank="1" showInputMessage="1" showErrorMessage="1" sqref="Y33 Y27 Y29" xr:uid="{00000000-0002-0000-0000-000001000000}">
      <formula1>$AF$89:$AF$90</formula1>
    </dataValidation>
    <dataValidation type="list" allowBlank="1" showInputMessage="1" showErrorMessage="1" sqref="Y46" xr:uid="{00000000-0002-0000-0000-000002000000}">
      <formula1>$AF$93:$AF$96</formula1>
    </dataValidation>
    <dataValidation type="list" allowBlank="1" showInputMessage="1" showErrorMessage="1" sqref="S20" xr:uid="{00000000-0002-0000-0000-000003000000}">
      <formula1>$AF$83:$AF$84</formula1>
    </dataValidation>
    <dataValidation type="list" allowBlank="1" showInputMessage="1" showErrorMessage="1" sqref="E20:F20" xr:uid="{00000000-0002-0000-0000-000004000000}">
      <formula1>$AF$86:$AF$88</formula1>
    </dataValidation>
    <dataValidation type="list" allowBlank="1" showInputMessage="1" showErrorMessage="1" sqref="E14:L14" xr:uid="{00000000-0002-0000-0000-000005000000}">
      <formula1>$AF$72:$AF$81</formula1>
    </dataValidation>
    <dataValidation type="list" allowBlank="1" showInputMessage="1" showErrorMessage="1" sqref="E12:L12" xr:uid="{00000000-0002-0000-0000-000006000000}">
      <formula1>$AF$67:$AF$70</formula1>
    </dataValidation>
  </dataValidations>
  <hyperlinks>
    <hyperlink ref="R12:T12" r:id="rId1" display="Número hijos antes de comenzar a trabajar" xr:uid="{00000000-0004-0000-0000-000000000000}"/>
    <hyperlink ref="R16:V16" r:id="rId2" display="Servicio Militar, tiempo superior al obligatorio del momento en que se realizó" xr:uid="{00000000-0004-0000-0000-000001000000}"/>
    <hyperlink ref="J44:L44" r:id="rId3" display="Ir a Vida Laboral" xr:uid="{00000000-0004-0000-0000-000002000000}"/>
    <hyperlink ref="R14:V14" r:id="rId4" display="Hijos nacidos estando sin cotizar en periodo entre 9 meses antes nacimiento: " xr:uid="{00000000-0004-0000-0000-000003000000}"/>
  </hyperlinks>
  <pageMargins left="0.7" right="0.7" top="0.75" bottom="0.75" header="0.3" footer="0.3"/>
  <pageSetup paperSize="9" orientation="portrait" horizontalDpi="4294967292"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40"/>
  <sheetViews>
    <sheetView topLeftCell="A1048576" workbookViewId="0">
      <selection sqref="A1:XFD1048576"/>
    </sheetView>
    <sheetView topLeftCell="A1048576" workbookViewId="1">
      <selection sqref="A1:C1"/>
    </sheetView>
  </sheetViews>
  <sheetFormatPr baseColWidth="10" defaultRowHeight="12.75" zeroHeight="1" x14ac:dyDescent="0.2"/>
  <cols>
    <col min="1" max="1" width="80.7109375" style="1" bestFit="1" customWidth="1"/>
    <col min="2" max="2" width="9.140625" style="1" bestFit="1" customWidth="1"/>
    <col min="3" max="3" width="11.85546875" style="1" bestFit="1" customWidth="1"/>
    <col min="4" max="4" width="33.5703125" style="1" customWidth="1"/>
    <col min="5" max="7" width="13.28515625" style="1" customWidth="1"/>
    <col min="8" max="8" width="12.140625" style="1" customWidth="1"/>
    <col min="9" max="9" width="10.7109375" style="1" customWidth="1"/>
    <col min="10" max="10" width="3.7109375" style="1" customWidth="1"/>
    <col min="11" max="12" width="11.42578125" style="1" customWidth="1"/>
    <col min="13" max="13" width="12" style="1" customWidth="1"/>
    <col min="14" max="14" width="15.5703125" style="1" customWidth="1"/>
    <col min="15" max="16" width="11.42578125" style="1" customWidth="1"/>
    <col min="17" max="258" width="11.42578125" style="1"/>
    <col min="259" max="259" width="82.85546875" style="1" customWidth="1"/>
    <col min="260" max="260" width="10.42578125" style="1" customWidth="1"/>
    <col min="261" max="261" width="14.28515625" style="1" customWidth="1"/>
    <col min="262" max="263" width="13.28515625" style="1" bestFit="1" customWidth="1"/>
    <col min="264" max="264" width="12.140625" style="1" bestFit="1" customWidth="1"/>
    <col min="265" max="265" width="10.7109375" style="1" bestFit="1" customWidth="1"/>
    <col min="266" max="268" width="11.42578125" style="1"/>
    <col min="269" max="269" width="12" style="1" bestFit="1" customWidth="1"/>
    <col min="270" max="270" width="15.5703125" style="1" customWidth="1"/>
    <col min="271" max="514" width="11.42578125" style="1"/>
    <col min="515" max="515" width="82.85546875" style="1" customWidth="1"/>
    <col min="516" max="516" width="10.42578125" style="1" customWidth="1"/>
    <col min="517" max="517" width="14.28515625" style="1" customWidth="1"/>
    <col min="518" max="519" width="13.28515625" style="1" bestFit="1" customWidth="1"/>
    <col min="520" max="520" width="12.140625" style="1" bestFit="1" customWidth="1"/>
    <col min="521" max="521" width="10.7109375" style="1" bestFit="1" customWidth="1"/>
    <col min="522" max="524" width="11.42578125" style="1"/>
    <col min="525" max="525" width="12" style="1" bestFit="1" customWidth="1"/>
    <col min="526" max="526" width="15.5703125" style="1" customWidth="1"/>
    <col min="527" max="770" width="11.42578125" style="1"/>
    <col min="771" max="771" width="82.85546875" style="1" customWidth="1"/>
    <col min="772" max="772" width="10.42578125" style="1" customWidth="1"/>
    <col min="773" max="773" width="14.28515625" style="1" customWidth="1"/>
    <col min="774" max="775" width="13.28515625" style="1" bestFit="1" customWidth="1"/>
    <col min="776" max="776" width="12.140625" style="1" bestFit="1" customWidth="1"/>
    <col min="777" max="777" width="10.7109375" style="1" bestFit="1" customWidth="1"/>
    <col min="778" max="780" width="11.42578125" style="1"/>
    <col min="781" max="781" width="12" style="1" bestFit="1" customWidth="1"/>
    <col min="782" max="782" width="15.5703125" style="1" customWidth="1"/>
    <col min="783" max="1026" width="11.42578125" style="1"/>
    <col min="1027" max="1027" width="82.85546875" style="1" customWidth="1"/>
    <col min="1028" max="1028" width="10.42578125" style="1" customWidth="1"/>
    <col min="1029" max="1029" width="14.28515625" style="1" customWidth="1"/>
    <col min="1030" max="1031" width="13.28515625" style="1" bestFit="1" customWidth="1"/>
    <col min="1032" max="1032" width="12.140625" style="1" bestFit="1" customWidth="1"/>
    <col min="1033" max="1033" width="10.7109375" style="1" bestFit="1" customWidth="1"/>
    <col min="1034" max="1036" width="11.42578125" style="1"/>
    <col min="1037" max="1037" width="12" style="1" bestFit="1" customWidth="1"/>
    <col min="1038" max="1038" width="15.5703125" style="1" customWidth="1"/>
    <col min="1039" max="1282" width="11.42578125" style="1"/>
    <col min="1283" max="1283" width="82.85546875" style="1" customWidth="1"/>
    <col min="1284" max="1284" width="10.42578125" style="1" customWidth="1"/>
    <col min="1285" max="1285" width="14.28515625" style="1" customWidth="1"/>
    <col min="1286" max="1287" width="13.28515625" style="1" bestFit="1" customWidth="1"/>
    <col min="1288" max="1288" width="12.140625" style="1" bestFit="1" customWidth="1"/>
    <col min="1289" max="1289" width="10.7109375" style="1" bestFit="1" customWidth="1"/>
    <col min="1290" max="1292" width="11.42578125" style="1"/>
    <col min="1293" max="1293" width="12" style="1" bestFit="1" customWidth="1"/>
    <col min="1294" max="1294" width="15.5703125" style="1" customWidth="1"/>
    <col min="1295" max="1538" width="11.42578125" style="1"/>
    <col min="1539" max="1539" width="82.85546875" style="1" customWidth="1"/>
    <col min="1540" max="1540" width="10.42578125" style="1" customWidth="1"/>
    <col min="1541" max="1541" width="14.28515625" style="1" customWidth="1"/>
    <col min="1542" max="1543" width="13.28515625" style="1" bestFit="1" customWidth="1"/>
    <col min="1544" max="1544" width="12.140625" style="1" bestFit="1" customWidth="1"/>
    <col min="1545" max="1545" width="10.7109375" style="1" bestFit="1" customWidth="1"/>
    <col min="1546" max="1548" width="11.42578125" style="1"/>
    <col min="1549" max="1549" width="12" style="1" bestFit="1" customWidth="1"/>
    <col min="1550" max="1550" width="15.5703125" style="1" customWidth="1"/>
    <col min="1551" max="1794" width="11.42578125" style="1"/>
    <col min="1795" max="1795" width="82.85546875" style="1" customWidth="1"/>
    <col min="1796" max="1796" width="10.42578125" style="1" customWidth="1"/>
    <col min="1797" max="1797" width="14.28515625" style="1" customWidth="1"/>
    <col min="1798" max="1799" width="13.28515625" style="1" bestFit="1" customWidth="1"/>
    <col min="1800" max="1800" width="12.140625" style="1" bestFit="1" customWidth="1"/>
    <col min="1801" max="1801" width="10.7109375" style="1" bestFit="1" customWidth="1"/>
    <col min="1802" max="1804" width="11.42578125" style="1"/>
    <col min="1805" max="1805" width="12" style="1" bestFit="1" customWidth="1"/>
    <col min="1806" max="1806" width="15.5703125" style="1" customWidth="1"/>
    <col min="1807" max="2050" width="11.42578125" style="1"/>
    <col min="2051" max="2051" width="82.85546875" style="1" customWidth="1"/>
    <col min="2052" max="2052" width="10.42578125" style="1" customWidth="1"/>
    <col min="2053" max="2053" width="14.28515625" style="1" customWidth="1"/>
    <col min="2054" max="2055" width="13.28515625" style="1" bestFit="1" customWidth="1"/>
    <col min="2056" max="2056" width="12.140625" style="1" bestFit="1" customWidth="1"/>
    <col min="2057" max="2057" width="10.7109375" style="1" bestFit="1" customWidth="1"/>
    <col min="2058" max="2060" width="11.42578125" style="1"/>
    <col min="2061" max="2061" width="12" style="1" bestFit="1" customWidth="1"/>
    <col min="2062" max="2062" width="15.5703125" style="1" customWidth="1"/>
    <col min="2063" max="2306" width="11.42578125" style="1"/>
    <col min="2307" max="2307" width="82.85546875" style="1" customWidth="1"/>
    <col min="2308" max="2308" width="10.42578125" style="1" customWidth="1"/>
    <col min="2309" max="2309" width="14.28515625" style="1" customWidth="1"/>
    <col min="2310" max="2311" width="13.28515625" style="1" bestFit="1" customWidth="1"/>
    <col min="2312" max="2312" width="12.140625" style="1" bestFit="1" customWidth="1"/>
    <col min="2313" max="2313" width="10.7109375" style="1" bestFit="1" customWidth="1"/>
    <col min="2314" max="2316" width="11.42578125" style="1"/>
    <col min="2317" max="2317" width="12" style="1" bestFit="1" customWidth="1"/>
    <col min="2318" max="2318" width="15.5703125" style="1" customWidth="1"/>
    <col min="2319" max="2562" width="11.42578125" style="1"/>
    <col min="2563" max="2563" width="82.85546875" style="1" customWidth="1"/>
    <col min="2564" max="2564" width="10.42578125" style="1" customWidth="1"/>
    <col min="2565" max="2565" width="14.28515625" style="1" customWidth="1"/>
    <col min="2566" max="2567" width="13.28515625" style="1" bestFit="1" customWidth="1"/>
    <col min="2568" max="2568" width="12.140625" style="1" bestFit="1" customWidth="1"/>
    <col min="2569" max="2569" width="10.7109375" style="1" bestFit="1" customWidth="1"/>
    <col min="2570" max="2572" width="11.42578125" style="1"/>
    <col min="2573" max="2573" width="12" style="1" bestFit="1" customWidth="1"/>
    <col min="2574" max="2574" width="15.5703125" style="1" customWidth="1"/>
    <col min="2575" max="2818" width="11.42578125" style="1"/>
    <col min="2819" max="2819" width="82.85546875" style="1" customWidth="1"/>
    <col min="2820" max="2820" width="10.42578125" style="1" customWidth="1"/>
    <col min="2821" max="2821" width="14.28515625" style="1" customWidth="1"/>
    <col min="2822" max="2823" width="13.28515625" style="1" bestFit="1" customWidth="1"/>
    <col min="2824" max="2824" width="12.140625" style="1" bestFit="1" customWidth="1"/>
    <col min="2825" max="2825" width="10.7109375" style="1" bestFit="1" customWidth="1"/>
    <col min="2826" max="2828" width="11.42578125" style="1"/>
    <col min="2829" max="2829" width="12" style="1" bestFit="1" customWidth="1"/>
    <col min="2830" max="2830" width="15.5703125" style="1" customWidth="1"/>
    <col min="2831" max="3074" width="11.42578125" style="1"/>
    <col min="3075" max="3075" width="82.85546875" style="1" customWidth="1"/>
    <col min="3076" max="3076" width="10.42578125" style="1" customWidth="1"/>
    <col min="3077" max="3077" width="14.28515625" style="1" customWidth="1"/>
    <col min="3078" max="3079" width="13.28515625" style="1" bestFit="1" customWidth="1"/>
    <col min="3080" max="3080" width="12.140625" style="1" bestFit="1" customWidth="1"/>
    <col min="3081" max="3081" width="10.7109375" style="1" bestFit="1" customWidth="1"/>
    <col min="3082" max="3084" width="11.42578125" style="1"/>
    <col min="3085" max="3085" width="12" style="1" bestFit="1" customWidth="1"/>
    <col min="3086" max="3086" width="15.5703125" style="1" customWidth="1"/>
    <col min="3087" max="3330" width="11.42578125" style="1"/>
    <col min="3331" max="3331" width="82.85546875" style="1" customWidth="1"/>
    <col min="3332" max="3332" width="10.42578125" style="1" customWidth="1"/>
    <col min="3333" max="3333" width="14.28515625" style="1" customWidth="1"/>
    <col min="3334" max="3335" width="13.28515625" style="1" bestFit="1" customWidth="1"/>
    <col min="3336" max="3336" width="12.140625" style="1" bestFit="1" customWidth="1"/>
    <col min="3337" max="3337" width="10.7109375" style="1" bestFit="1" customWidth="1"/>
    <col min="3338" max="3340" width="11.42578125" style="1"/>
    <col min="3341" max="3341" width="12" style="1" bestFit="1" customWidth="1"/>
    <col min="3342" max="3342" width="15.5703125" style="1" customWidth="1"/>
    <col min="3343" max="3586" width="11.42578125" style="1"/>
    <col min="3587" max="3587" width="82.85546875" style="1" customWidth="1"/>
    <col min="3588" max="3588" width="10.42578125" style="1" customWidth="1"/>
    <col min="3589" max="3589" width="14.28515625" style="1" customWidth="1"/>
    <col min="3590" max="3591" width="13.28515625" style="1" bestFit="1" customWidth="1"/>
    <col min="3592" max="3592" width="12.140625" style="1" bestFit="1" customWidth="1"/>
    <col min="3593" max="3593" width="10.7109375" style="1" bestFit="1" customWidth="1"/>
    <col min="3594" max="3596" width="11.42578125" style="1"/>
    <col min="3597" max="3597" width="12" style="1" bestFit="1" customWidth="1"/>
    <col min="3598" max="3598" width="15.5703125" style="1" customWidth="1"/>
    <col min="3599" max="3842" width="11.42578125" style="1"/>
    <col min="3843" max="3843" width="82.85546875" style="1" customWidth="1"/>
    <col min="3844" max="3844" width="10.42578125" style="1" customWidth="1"/>
    <col min="3845" max="3845" width="14.28515625" style="1" customWidth="1"/>
    <col min="3846" max="3847" width="13.28515625" style="1" bestFit="1" customWidth="1"/>
    <col min="3848" max="3848" width="12.140625" style="1" bestFit="1" customWidth="1"/>
    <col min="3849" max="3849" width="10.7109375" style="1" bestFit="1" customWidth="1"/>
    <col min="3850" max="3852" width="11.42578125" style="1"/>
    <col min="3853" max="3853" width="12" style="1" bestFit="1" customWidth="1"/>
    <col min="3854" max="3854" width="15.5703125" style="1" customWidth="1"/>
    <col min="3855" max="4098" width="11.42578125" style="1"/>
    <col min="4099" max="4099" width="82.85546875" style="1" customWidth="1"/>
    <col min="4100" max="4100" width="10.42578125" style="1" customWidth="1"/>
    <col min="4101" max="4101" width="14.28515625" style="1" customWidth="1"/>
    <col min="4102" max="4103" width="13.28515625" style="1" bestFit="1" customWidth="1"/>
    <col min="4104" max="4104" width="12.140625" style="1" bestFit="1" customWidth="1"/>
    <col min="4105" max="4105" width="10.7109375" style="1" bestFit="1" customWidth="1"/>
    <col min="4106" max="4108" width="11.42578125" style="1"/>
    <col min="4109" max="4109" width="12" style="1" bestFit="1" customWidth="1"/>
    <col min="4110" max="4110" width="15.5703125" style="1" customWidth="1"/>
    <col min="4111" max="4354" width="11.42578125" style="1"/>
    <col min="4355" max="4355" width="82.85546875" style="1" customWidth="1"/>
    <col min="4356" max="4356" width="10.42578125" style="1" customWidth="1"/>
    <col min="4357" max="4357" width="14.28515625" style="1" customWidth="1"/>
    <col min="4358" max="4359" width="13.28515625" style="1" bestFit="1" customWidth="1"/>
    <col min="4360" max="4360" width="12.140625" style="1" bestFit="1" customWidth="1"/>
    <col min="4361" max="4361" width="10.7109375" style="1" bestFit="1" customWidth="1"/>
    <col min="4362" max="4364" width="11.42578125" style="1"/>
    <col min="4365" max="4365" width="12" style="1" bestFit="1" customWidth="1"/>
    <col min="4366" max="4366" width="15.5703125" style="1" customWidth="1"/>
    <col min="4367" max="4610" width="11.42578125" style="1"/>
    <col min="4611" max="4611" width="82.85546875" style="1" customWidth="1"/>
    <col min="4612" max="4612" width="10.42578125" style="1" customWidth="1"/>
    <col min="4613" max="4613" width="14.28515625" style="1" customWidth="1"/>
    <col min="4614" max="4615" width="13.28515625" style="1" bestFit="1" customWidth="1"/>
    <col min="4616" max="4616" width="12.140625" style="1" bestFit="1" customWidth="1"/>
    <col min="4617" max="4617" width="10.7109375" style="1" bestFit="1" customWidth="1"/>
    <col min="4618" max="4620" width="11.42578125" style="1"/>
    <col min="4621" max="4621" width="12" style="1" bestFit="1" customWidth="1"/>
    <col min="4622" max="4622" width="15.5703125" style="1" customWidth="1"/>
    <col min="4623" max="4866" width="11.42578125" style="1"/>
    <col min="4867" max="4867" width="82.85546875" style="1" customWidth="1"/>
    <col min="4868" max="4868" width="10.42578125" style="1" customWidth="1"/>
    <col min="4869" max="4869" width="14.28515625" style="1" customWidth="1"/>
    <col min="4870" max="4871" width="13.28515625" style="1" bestFit="1" customWidth="1"/>
    <col min="4872" max="4872" width="12.140625" style="1" bestFit="1" customWidth="1"/>
    <col min="4873" max="4873" width="10.7109375" style="1" bestFit="1" customWidth="1"/>
    <col min="4874" max="4876" width="11.42578125" style="1"/>
    <col min="4877" max="4877" width="12" style="1" bestFit="1" customWidth="1"/>
    <col min="4878" max="4878" width="15.5703125" style="1" customWidth="1"/>
    <col min="4879" max="5122" width="11.42578125" style="1"/>
    <col min="5123" max="5123" width="82.85546875" style="1" customWidth="1"/>
    <col min="5124" max="5124" width="10.42578125" style="1" customWidth="1"/>
    <col min="5125" max="5125" width="14.28515625" style="1" customWidth="1"/>
    <col min="5126" max="5127" width="13.28515625" style="1" bestFit="1" customWidth="1"/>
    <col min="5128" max="5128" width="12.140625" style="1" bestFit="1" customWidth="1"/>
    <col min="5129" max="5129" width="10.7109375" style="1" bestFit="1" customWidth="1"/>
    <col min="5130" max="5132" width="11.42578125" style="1"/>
    <col min="5133" max="5133" width="12" style="1" bestFit="1" customWidth="1"/>
    <col min="5134" max="5134" width="15.5703125" style="1" customWidth="1"/>
    <col min="5135" max="5378" width="11.42578125" style="1"/>
    <col min="5379" max="5379" width="82.85546875" style="1" customWidth="1"/>
    <col min="5380" max="5380" width="10.42578125" style="1" customWidth="1"/>
    <col min="5381" max="5381" width="14.28515625" style="1" customWidth="1"/>
    <col min="5382" max="5383" width="13.28515625" style="1" bestFit="1" customWidth="1"/>
    <col min="5384" max="5384" width="12.140625" style="1" bestFit="1" customWidth="1"/>
    <col min="5385" max="5385" width="10.7109375" style="1" bestFit="1" customWidth="1"/>
    <col min="5386" max="5388" width="11.42578125" style="1"/>
    <col min="5389" max="5389" width="12" style="1" bestFit="1" customWidth="1"/>
    <col min="5390" max="5390" width="15.5703125" style="1" customWidth="1"/>
    <col min="5391" max="5634" width="11.42578125" style="1"/>
    <col min="5635" max="5635" width="82.85546875" style="1" customWidth="1"/>
    <col min="5636" max="5636" width="10.42578125" style="1" customWidth="1"/>
    <col min="5637" max="5637" width="14.28515625" style="1" customWidth="1"/>
    <col min="5638" max="5639" width="13.28515625" style="1" bestFit="1" customWidth="1"/>
    <col min="5640" max="5640" width="12.140625" style="1" bestFit="1" customWidth="1"/>
    <col min="5641" max="5641" width="10.7109375" style="1" bestFit="1" customWidth="1"/>
    <col min="5642" max="5644" width="11.42578125" style="1"/>
    <col min="5645" max="5645" width="12" style="1" bestFit="1" customWidth="1"/>
    <col min="5646" max="5646" width="15.5703125" style="1" customWidth="1"/>
    <col min="5647" max="5890" width="11.42578125" style="1"/>
    <col min="5891" max="5891" width="82.85546875" style="1" customWidth="1"/>
    <col min="5892" max="5892" width="10.42578125" style="1" customWidth="1"/>
    <col min="5893" max="5893" width="14.28515625" style="1" customWidth="1"/>
    <col min="5894" max="5895" width="13.28515625" style="1" bestFit="1" customWidth="1"/>
    <col min="5896" max="5896" width="12.140625" style="1" bestFit="1" customWidth="1"/>
    <col min="5897" max="5897" width="10.7109375" style="1" bestFit="1" customWidth="1"/>
    <col min="5898" max="5900" width="11.42578125" style="1"/>
    <col min="5901" max="5901" width="12" style="1" bestFit="1" customWidth="1"/>
    <col min="5902" max="5902" width="15.5703125" style="1" customWidth="1"/>
    <col min="5903" max="6146" width="11.42578125" style="1"/>
    <col min="6147" max="6147" width="82.85546875" style="1" customWidth="1"/>
    <col min="6148" max="6148" width="10.42578125" style="1" customWidth="1"/>
    <col min="6149" max="6149" width="14.28515625" style="1" customWidth="1"/>
    <col min="6150" max="6151" width="13.28515625" style="1" bestFit="1" customWidth="1"/>
    <col min="6152" max="6152" width="12.140625" style="1" bestFit="1" customWidth="1"/>
    <col min="6153" max="6153" width="10.7109375" style="1" bestFit="1" customWidth="1"/>
    <col min="6154" max="6156" width="11.42578125" style="1"/>
    <col min="6157" max="6157" width="12" style="1" bestFit="1" customWidth="1"/>
    <col min="6158" max="6158" width="15.5703125" style="1" customWidth="1"/>
    <col min="6159" max="6402" width="11.42578125" style="1"/>
    <col min="6403" max="6403" width="82.85546875" style="1" customWidth="1"/>
    <col min="6404" max="6404" width="10.42578125" style="1" customWidth="1"/>
    <col min="6405" max="6405" width="14.28515625" style="1" customWidth="1"/>
    <col min="6406" max="6407" width="13.28515625" style="1" bestFit="1" customWidth="1"/>
    <col min="6408" max="6408" width="12.140625" style="1" bestFit="1" customWidth="1"/>
    <col min="6409" max="6409" width="10.7109375" style="1" bestFit="1" customWidth="1"/>
    <col min="6410" max="6412" width="11.42578125" style="1"/>
    <col min="6413" max="6413" width="12" style="1" bestFit="1" customWidth="1"/>
    <col min="6414" max="6414" width="15.5703125" style="1" customWidth="1"/>
    <col min="6415" max="6658" width="11.42578125" style="1"/>
    <col min="6659" max="6659" width="82.85546875" style="1" customWidth="1"/>
    <col min="6660" max="6660" width="10.42578125" style="1" customWidth="1"/>
    <col min="6661" max="6661" width="14.28515625" style="1" customWidth="1"/>
    <col min="6662" max="6663" width="13.28515625" style="1" bestFit="1" customWidth="1"/>
    <col min="6664" max="6664" width="12.140625" style="1" bestFit="1" customWidth="1"/>
    <col min="6665" max="6665" width="10.7109375" style="1" bestFit="1" customWidth="1"/>
    <col min="6666" max="6668" width="11.42578125" style="1"/>
    <col min="6669" max="6669" width="12" style="1" bestFit="1" customWidth="1"/>
    <col min="6670" max="6670" width="15.5703125" style="1" customWidth="1"/>
    <col min="6671" max="6914" width="11.42578125" style="1"/>
    <col min="6915" max="6915" width="82.85546875" style="1" customWidth="1"/>
    <col min="6916" max="6916" width="10.42578125" style="1" customWidth="1"/>
    <col min="6917" max="6917" width="14.28515625" style="1" customWidth="1"/>
    <col min="6918" max="6919" width="13.28515625" style="1" bestFit="1" customWidth="1"/>
    <col min="6920" max="6920" width="12.140625" style="1" bestFit="1" customWidth="1"/>
    <col min="6921" max="6921" width="10.7109375" style="1" bestFit="1" customWidth="1"/>
    <col min="6922" max="6924" width="11.42578125" style="1"/>
    <col min="6925" max="6925" width="12" style="1" bestFit="1" customWidth="1"/>
    <col min="6926" max="6926" width="15.5703125" style="1" customWidth="1"/>
    <col min="6927" max="7170" width="11.42578125" style="1"/>
    <col min="7171" max="7171" width="82.85546875" style="1" customWidth="1"/>
    <col min="7172" max="7172" width="10.42578125" style="1" customWidth="1"/>
    <col min="7173" max="7173" width="14.28515625" style="1" customWidth="1"/>
    <col min="7174" max="7175" width="13.28515625" style="1" bestFit="1" customWidth="1"/>
    <col min="7176" max="7176" width="12.140625" style="1" bestFit="1" customWidth="1"/>
    <col min="7177" max="7177" width="10.7109375" style="1" bestFit="1" customWidth="1"/>
    <col min="7178" max="7180" width="11.42578125" style="1"/>
    <col min="7181" max="7181" width="12" style="1" bestFit="1" customWidth="1"/>
    <col min="7182" max="7182" width="15.5703125" style="1" customWidth="1"/>
    <col min="7183" max="7426" width="11.42578125" style="1"/>
    <col min="7427" max="7427" width="82.85546875" style="1" customWidth="1"/>
    <col min="7428" max="7428" width="10.42578125" style="1" customWidth="1"/>
    <col min="7429" max="7429" width="14.28515625" style="1" customWidth="1"/>
    <col min="7430" max="7431" width="13.28515625" style="1" bestFit="1" customWidth="1"/>
    <col min="7432" max="7432" width="12.140625" style="1" bestFit="1" customWidth="1"/>
    <col min="7433" max="7433" width="10.7109375" style="1" bestFit="1" customWidth="1"/>
    <col min="7434" max="7436" width="11.42578125" style="1"/>
    <col min="7437" max="7437" width="12" style="1" bestFit="1" customWidth="1"/>
    <col min="7438" max="7438" width="15.5703125" style="1" customWidth="1"/>
    <col min="7439" max="7682" width="11.42578125" style="1"/>
    <col min="7683" max="7683" width="82.85546875" style="1" customWidth="1"/>
    <col min="7684" max="7684" width="10.42578125" style="1" customWidth="1"/>
    <col min="7685" max="7685" width="14.28515625" style="1" customWidth="1"/>
    <col min="7686" max="7687" width="13.28515625" style="1" bestFit="1" customWidth="1"/>
    <col min="7688" max="7688" width="12.140625" style="1" bestFit="1" customWidth="1"/>
    <col min="7689" max="7689" width="10.7109375" style="1" bestFit="1" customWidth="1"/>
    <col min="7690" max="7692" width="11.42578125" style="1"/>
    <col min="7693" max="7693" width="12" style="1" bestFit="1" customWidth="1"/>
    <col min="7694" max="7694" width="15.5703125" style="1" customWidth="1"/>
    <col min="7695" max="7938" width="11.42578125" style="1"/>
    <col min="7939" max="7939" width="82.85546875" style="1" customWidth="1"/>
    <col min="7940" max="7940" width="10.42578125" style="1" customWidth="1"/>
    <col min="7941" max="7941" width="14.28515625" style="1" customWidth="1"/>
    <col min="7942" max="7943" width="13.28515625" style="1" bestFit="1" customWidth="1"/>
    <col min="7944" max="7944" width="12.140625" style="1" bestFit="1" customWidth="1"/>
    <col min="7945" max="7945" width="10.7109375" style="1" bestFit="1" customWidth="1"/>
    <col min="7946" max="7948" width="11.42578125" style="1"/>
    <col min="7949" max="7949" width="12" style="1" bestFit="1" customWidth="1"/>
    <col min="7950" max="7950" width="15.5703125" style="1" customWidth="1"/>
    <col min="7951" max="8194" width="11.42578125" style="1"/>
    <col min="8195" max="8195" width="82.85546875" style="1" customWidth="1"/>
    <col min="8196" max="8196" width="10.42578125" style="1" customWidth="1"/>
    <col min="8197" max="8197" width="14.28515625" style="1" customWidth="1"/>
    <col min="8198" max="8199" width="13.28515625" style="1" bestFit="1" customWidth="1"/>
    <col min="8200" max="8200" width="12.140625" style="1" bestFit="1" customWidth="1"/>
    <col min="8201" max="8201" width="10.7109375" style="1" bestFit="1" customWidth="1"/>
    <col min="8202" max="8204" width="11.42578125" style="1"/>
    <col min="8205" max="8205" width="12" style="1" bestFit="1" customWidth="1"/>
    <col min="8206" max="8206" width="15.5703125" style="1" customWidth="1"/>
    <col min="8207" max="8450" width="11.42578125" style="1"/>
    <col min="8451" max="8451" width="82.85546875" style="1" customWidth="1"/>
    <col min="8452" max="8452" width="10.42578125" style="1" customWidth="1"/>
    <col min="8453" max="8453" width="14.28515625" style="1" customWidth="1"/>
    <col min="8454" max="8455" width="13.28515625" style="1" bestFit="1" customWidth="1"/>
    <col min="8456" max="8456" width="12.140625" style="1" bestFit="1" customWidth="1"/>
    <col min="8457" max="8457" width="10.7109375" style="1" bestFit="1" customWidth="1"/>
    <col min="8458" max="8460" width="11.42578125" style="1"/>
    <col min="8461" max="8461" width="12" style="1" bestFit="1" customWidth="1"/>
    <col min="8462" max="8462" width="15.5703125" style="1" customWidth="1"/>
    <col min="8463" max="8706" width="11.42578125" style="1"/>
    <col min="8707" max="8707" width="82.85546875" style="1" customWidth="1"/>
    <col min="8708" max="8708" width="10.42578125" style="1" customWidth="1"/>
    <col min="8709" max="8709" width="14.28515625" style="1" customWidth="1"/>
    <col min="8710" max="8711" width="13.28515625" style="1" bestFit="1" customWidth="1"/>
    <col min="8712" max="8712" width="12.140625" style="1" bestFit="1" customWidth="1"/>
    <col min="8713" max="8713" width="10.7109375" style="1" bestFit="1" customWidth="1"/>
    <col min="8714" max="8716" width="11.42578125" style="1"/>
    <col min="8717" max="8717" width="12" style="1" bestFit="1" customWidth="1"/>
    <col min="8718" max="8718" width="15.5703125" style="1" customWidth="1"/>
    <col min="8719" max="8962" width="11.42578125" style="1"/>
    <col min="8963" max="8963" width="82.85546875" style="1" customWidth="1"/>
    <col min="8964" max="8964" width="10.42578125" style="1" customWidth="1"/>
    <col min="8965" max="8965" width="14.28515625" style="1" customWidth="1"/>
    <col min="8966" max="8967" width="13.28515625" style="1" bestFit="1" customWidth="1"/>
    <col min="8968" max="8968" width="12.140625" style="1" bestFit="1" customWidth="1"/>
    <col min="8969" max="8969" width="10.7109375" style="1" bestFit="1" customWidth="1"/>
    <col min="8970" max="8972" width="11.42578125" style="1"/>
    <col min="8973" max="8973" width="12" style="1" bestFit="1" customWidth="1"/>
    <col min="8974" max="8974" width="15.5703125" style="1" customWidth="1"/>
    <col min="8975" max="9218" width="11.42578125" style="1"/>
    <col min="9219" max="9219" width="82.85546875" style="1" customWidth="1"/>
    <col min="9220" max="9220" width="10.42578125" style="1" customWidth="1"/>
    <col min="9221" max="9221" width="14.28515625" style="1" customWidth="1"/>
    <col min="9222" max="9223" width="13.28515625" style="1" bestFit="1" customWidth="1"/>
    <col min="9224" max="9224" width="12.140625" style="1" bestFit="1" customWidth="1"/>
    <col min="9225" max="9225" width="10.7109375" style="1" bestFit="1" customWidth="1"/>
    <col min="9226" max="9228" width="11.42578125" style="1"/>
    <col min="9229" max="9229" width="12" style="1" bestFit="1" customWidth="1"/>
    <col min="9230" max="9230" width="15.5703125" style="1" customWidth="1"/>
    <col min="9231" max="9474" width="11.42578125" style="1"/>
    <col min="9475" max="9475" width="82.85546875" style="1" customWidth="1"/>
    <col min="9476" max="9476" width="10.42578125" style="1" customWidth="1"/>
    <col min="9477" max="9477" width="14.28515625" style="1" customWidth="1"/>
    <col min="9478" max="9479" width="13.28515625" style="1" bestFit="1" customWidth="1"/>
    <col min="9480" max="9480" width="12.140625" style="1" bestFit="1" customWidth="1"/>
    <col min="9481" max="9481" width="10.7109375" style="1" bestFit="1" customWidth="1"/>
    <col min="9482" max="9484" width="11.42578125" style="1"/>
    <col min="9485" max="9485" width="12" style="1" bestFit="1" customWidth="1"/>
    <col min="9486" max="9486" width="15.5703125" style="1" customWidth="1"/>
    <col min="9487" max="9730" width="11.42578125" style="1"/>
    <col min="9731" max="9731" width="82.85546875" style="1" customWidth="1"/>
    <col min="9732" max="9732" width="10.42578125" style="1" customWidth="1"/>
    <col min="9733" max="9733" width="14.28515625" style="1" customWidth="1"/>
    <col min="9734" max="9735" width="13.28515625" style="1" bestFit="1" customWidth="1"/>
    <col min="9736" max="9736" width="12.140625" style="1" bestFit="1" customWidth="1"/>
    <col min="9737" max="9737" width="10.7109375" style="1" bestFit="1" customWidth="1"/>
    <col min="9738" max="9740" width="11.42578125" style="1"/>
    <col min="9741" max="9741" width="12" style="1" bestFit="1" customWidth="1"/>
    <col min="9742" max="9742" width="15.5703125" style="1" customWidth="1"/>
    <col min="9743" max="9986" width="11.42578125" style="1"/>
    <col min="9987" max="9987" width="82.85546875" style="1" customWidth="1"/>
    <col min="9988" max="9988" width="10.42578125" style="1" customWidth="1"/>
    <col min="9989" max="9989" width="14.28515625" style="1" customWidth="1"/>
    <col min="9990" max="9991" width="13.28515625" style="1" bestFit="1" customWidth="1"/>
    <col min="9992" max="9992" width="12.140625" style="1" bestFit="1" customWidth="1"/>
    <col min="9993" max="9993" width="10.7109375" style="1" bestFit="1" customWidth="1"/>
    <col min="9994" max="9996" width="11.42578125" style="1"/>
    <col min="9997" max="9997" width="12" style="1" bestFit="1" customWidth="1"/>
    <col min="9998" max="9998" width="15.5703125" style="1" customWidth="1"/>
    <col min="9999" max="10242" width="11.42578125" style="1"/>
    <col min="10243" max="10243" width="82.85546875" style="1" customWidth="1"/>
    <col min="10244" max="10244" width="10.42578125" style="1" customWidth="1"/>
    <col min="10245" max="10245" width="14.28515625" style="1" customWidth="1"/>
    <col min="10246" max="10247" width="13.28515625" style="1" bestFit="1" customWidth="1"/>
    <col min="10248" max="10248" width="12.140625" style="1" bestFit="1" customWidth="1"/>
    <col min="10249" max="10249" width="10.7109375" style="1" bestFit="1" customWidth="1"/>
    <col min="10250" max="10252" width="11.42578125" style="1"/>
    <col min="10253" max="10253" width="12" style="1" bestFit="1" customWidth="1"/>
    <col min="10254" max="10254" width="15.5703125" style="1" customWidth="1"/>
    <col min="10255" max="10498" width="11.42578125" style="1"/>
    <col min="10499" max="10499" width="82.85546875" style="1" customWidth="1"/>
    <col min="10500" max="10500" width="10.42578125" style="1" customWidth="1"/>
    <col min="10501" max="10501" width="14.28515625" style="1" customWidth="1"/>
    <col min="10502" max="10503" width="13.28515625" style="1" bestFit="1" customWidth="1"/>
    <col min="10504" max="10504" width="12.140625" style="1" bestFit="1" customWidth="1"/>
    <col min="10505" max="10505" width="10.7109375" style="1" bestFit="1" customWidth="1"/>
    <col min="10506" max="10508" width="11.42578125" style="1"/>
    <col min="10509" max="10509" width="12" style="1" bestFit="1" customWidth="1"/>
    <col min="10510" max="10510" width="15.5703125" style="1" customWidth="1"/>
    <col min="10511" max="10754" width="11.42578125" style="1"/>
    <col min="10755" max="10755" width="82.85546875" style="1" customWidth="1"/>
    <col min="10756" max="10756" width="10.42578125" style="1" customWidth="1"/>
    <col min="10757" max="10757" width="14.28515625" style="1" customWidth="1"/>
    <col min="10758" max="10759" width="13.28515625" style="1" bestFit="1" customWidth="1"/>
    <col min="10760" max="10760" width="12.140625" style="1" bestFit="1" customWidth="1"/>
    <col min="10761" max="10761" width="10.7109375" style="1" bestFit="1" customWidth="1"/>
    <col min="10762" max="10764" width="11.42578125" style="1"/>
    <col min="10765" max="10765" width="12" style="1" bestFit="1" customWidth="1"/>
    <col min="10766" max="10766" width="15.5703125" style="1" customWidth="1"/>
    <col min="10767" max="11010" width="11.42578125" style="1"/>
    <col min="11011" max="11011" width="82.85546875" style="1" customWidth="1"/>
    <col min="11012" max="11012" width="10.42578125" style="1" customWidth="1"/>
    <col min="11013" max="11013" width="14.28515625" style="1" customWidth="1"/>
    <col min="11014" max="11015" width="13.28515625" style="1" bestFit="1" customWidth="1"/>
    <col min="11016" max="11016" width="12.140625" style="1" bestFit="1" customWidth="1"/>
    <col min="11017" max="11017" width="10.7109375" style="1" bestFit="1" customWidth="1"/>
    <col min="11018" max="11020" width="11.42578125" style="1"/>
    <col min="11021" max="11021" width="12" style="1" bestFit="1" customWidth="1"/>
    <col min="11022" max="11022" width="15.5703125" style="1" customWidth="1"/>
    <col min="11023" max="11266" width="11.42578125" style="1"/>
    <col min="11267" max="11267" width="82.85546875" style="1" customWidth="1"/>
    <col min="11268" max="11268" width="10.42578125" style="1" customWidth="1"/>
    <col min="11269" max="11269" width="14.28515625" style="1" customWidth="1"/>
    <col min="11270" max="11271" width="13.28515625" style="1" bestFit="1" customWidth="1"/>
    <col min="11272" max="11272" width="12.140625" style="1" bestFit="1" customWidth="1"/>
    <col min="11273" max="11273" width="10.7109375" style="1" bestFit="1" customWidth="1"/>
    <col min="11274" max="11276" width="11.42578125" style="1"/>
    <col min="11277" max="11277" width="12" style="1" bestFit="1" customWidth="1"/>
    <col min="11278" max="11278" width="15.5703125" style="1" customWidth="1"/>
    <col min="11279" max="11522" width="11.42578125" style="1"/>
    <col min="11523" max="11523" width="82.85546875" style="1" customWidth="1"/>
    <col min="11524" max="11524" width="10.42578125" style="1" customWidth="1"/>
    <col min="11525" max="11525" width="14.28515625" style="1" customWidth="1"/>
    <col min="11526" max="11527" width="13.28515625" style="1" bestFit="1" customWidth="1"/>
    <col min="11528" max="11528" width="12.140625" style="1" bestFit="1" customWidth="1"/>
    <col min="11529" max="11529" width="10.7109375" style="1" bestFit="1" customWidth="1"/>
    <col min="11530" max="11532" width="11.42578125" style="1"/>
    <col min="11533" max="11533" width="12" style="1" bestFit="1" customWidth="1"/>
    <col min="11534" max="11534" width="15.5703125" style="1" customWidth="1"/>
    <col min="11535" max="11778" width="11.42578125" style="1"/>
    <col min="11779" max="11779" width="82.85546875" style="1" customWidth="1"/>
    <col min="11780" max="11780" width="10.42578125" style="1" customWidth="1"/>
    <col min="11781" max="11781" width="14.28515625" style="1" customWidth="1"/>
    <col min="11782" max="11783" width="13.28515625" style="1" bestFit="1" customWidth="1"/>
    <col min="11784" max="11784" width="12.140625" style="1" bestFit="1" customWidth="1"/>
    <col min="11785" max="11785" width="10.7109375" style="1" bestFit="1" customWidth="1"/>
    <col min="11786" max="11788" width="11.42578125" style="1"/>
    <col min="11789" max="11789" width="12" style="1" bestFit="1" customWidth="1"/>
    <col min="11790" max="11790" width="15.5703125" style="1" customWidth="1"/>
    <col min="11791" max="12034" width="11.42578125" style="1"/>
    <col min="12035" max="12035" width="82.85546875" style="1" customWidth="1"/>
    <col min="12036" max="12036" width="10.42578125" style="1" customWidth="1"/>
    <col min="12037" max="12037" width="14.28515625" style="1" customWidth="1"/>
    <col min="12038" max="12039" width="13.28515625" style="1" bestFit="1" customWidth="1"/>
    <col min="12040" max="12040" width="12.140625" style="1" bestFit="1" customWidth="1"/>
    <col min="12041" max="12041" width="10.7109375" style="1" bestFit="1" customWidth="1"/>
    <col min="12042" max="12044" width="11.42578125" style="1"/>
    <col min="12045" max="12045" width="12" style="1" bestFit="1" customWidth="1"/>
    <col min="12046" max="12046" width="15.5703125" style="1" customWidth="1"/>
    <col min="12047" max="12290" width="11.42578125" style="1"/>
    <col min="12291" max="12291" width="82.85546875" style="1" customWidth="1"/>
    <col min="12292" max="12292" width="10.42578125" style="1" customWidth="1"/>
    <col min="12293" max="12293" width="14.28515625" style="1" customWidth="1"/>
    <col min="12294" max="12295" width="13.28515625" style="1" bestFit="1" customWidth="1"/>
    <col min="12296" max="12296" width="12.140625" style="1" bestFit="1" customWidth="1"/>
    <col min="12297" max="12297" width="10.7109375" style="1" bestFit="1" customWidth="1"/>
    <col min="12298" max="12300" width="11.42578125" style="1"/>
    <col min="12301" max="12301" width="12" style="1" bestFit="1" customWidth="1"/>
    <col min="12302" max="12302" width="15.5703125" style="1" customWidth="1"/>
    <col min="12303" max="12546" width="11.42578125" style="1"/>
    <col min="12547" max="12547" width="82.85546875" style="1" customWidth="1"/>
    <col min="12548" max="12548" width="10.42578125" style="1" customWidth="1"/>
    <col min="12549" max="12549" width="14.28515625" style="1" customWidth="1"/>
    <col min="12550" max="12551" width="13.28515625" style="1" bestFit="1" customWidth="1"/>
    <col min="12552" max="12552" width="12.140625" style="1" bestFit="1" customWidth="1"/>
    <col min="12553" max="12553" width="10.7109375" style="1" bestFit="1" customWidth="1"/>
    <col min="12554" max="12556" width="11.42578125" style="1"/>
    <col min="12557" max="12557" width="12" style="1" bestFit="1" customWidth="1"/>
    <col min="12558" max="12558" width="15.5703125" style="1" customWidth="1"/>
    <col min="12559" max="12802" width="11.42578125" style="1"/>
    <col min="12803" max="12803" width="82.85546875" style="1" customWidth="1"/>
    <col min="12804" max="12804" width="10.42578125" style="1" customWidth="1"/>
    <col min="12805" max="12805" width="14.28515625" style="1" customWidth="1"/>
    <col min="12806" max="12807" width="13.28515625" style="1" bestFit="1" customWidth="1"/>
    <col min="12808" max="12808" width="12.140625" style="1" bestFit="1" customWidth="1"/>
    <col min="12809" max="12809" width="10.7109375" style="1" bestFit="1" customWidth="1"/>
    <col min="12810" max="12812" width="11.42578125" style="1"/>
    <col min="12813" max="12813" width="12" style="1" bestFit="1" customWidth="1"/>
    <col min="12814" max="12814" width="15.5703125" style="1" customWidth="1"/>
    <col min="12815" max="13058" width="11.42578125" style="1"/>
    <col min="13059" max="13059" width="82.85546875" style="1" customWidth="1"/>
    <col min="13060" max="13060" width="10.42578125" style="1" customWidth="1"/>
    <col min="13061" max="13061" width="14.28515625" style="1" customWidth="1"/>
    <col min="13062" max="13063" width="13.28515625" style="1" bestFit="1" customWidth="1"/>
    <col min="13064" max="13064" width="12.140625" style="1" bestFit="1" customWidth="1"/>
    <col min="13065" max="13065" width="10.7109375" style="1" bestFit="1" customWidth="1"/>
    <col min="13066" max="13068" width="11.42578125" style="1"/>
    <col min="13069" max="13069" width="12" style="1" bestFit="1" customWidth="1"/>
    <col min="13070" max="13070" width="15.5703125" style="1" customWidth="1"/>
    <col min="13071" max="13314" width="11.42578125" style="1"/>
    <col min="13315" max="13315" width="82.85546875" style="1" customWidth="1"/>
    <col min="13316" max="13316" width="10.42578125" style="1" customWidth="1"/>
    <col min="13317" max="13317" width="14.28515625" style="1" customWidth="1"/>
    <col min="13318" max="13319" width="13.28515625" style="1" bestFit="1" customWidth="1"/>
    <col min="13320" max="13320" width="12.140625" style="1" bestFit="1" customWidth="1"/>
    <col min="13321" max="13321" width="10.7109375" style="1" bestFit="1" customWidth="1"/>
    <col min="13322" max="13324" width="11.42578125" style="1"/>
    <col min="13325" max="13325" width="12" style="1" bestFit="1" customWidth="1"/>
    <col min="13326" max="13326" width="15.5703125" style="1" customWidth="1"/>
    <col min="13327" max="13570" width="11.42578125" style="1"/>
    <col min="13571" max="13571" width="82.85546875" style="1" customWidth="1"/>
    <col min="13572" max="13572" width="10.42578125" style="1" customWidth="1"/>
    <col min="13573" max="13573" width="14.28515625" style="1" customWidth="1"/>
    <col min="13574" max="13575" width="13.28515625" style="1" bestFit="1" customWidth="1"/>
    <col min="13576" max="13576" width="12.140625" style="1" bestFit="1" customWidth="1"/>
    <col min="13577" max="13577" width="10.7109375" style="1" bestFit="1" customWidth="1"/>
    <col min="13578" max="13580" width="11.42578125" style="1"/>
    <col min="13581" max="13581" width="12" style="1" bestFit="1" customWidth="1"/>
    <col min="13582" max="13582" width="15.5703125" style="1" customWidth="1"/>
    <col min="13583" max="13826" width="11.42578125" style="1"/>
    <col min="13827" max="13827" width="82.85546875" style="1" customWidth="1"/>
    <col min="13828" max="13828" width="10.42578125" style="1" customWidth="1"/>
    <col min="13829" max="13829" width="14.28515625" style="1" customWidth="1"/>
    <col min="13830" max="13831" width="13.28515625" style="1" bestFit="1" customWidth="1"/>
    <col min="13832" max="13832" width="12.140625" style="1" bestFit="1" customWidth="1"/>
    <col min="13833" max="13833" width="10.7109375" style="1" bestFit="1" customWidth="1"/>
    <col min="13834" max="13836" width="11.42578125" style="1"/>
    <col min="13837" max="13837" width="12" style="1" bestFit="1" customWidth="1"/>
    <col min="13838" max="13838" width="15.5703125" style="1" customWidth="1"/>
    <col min="13839" max="14082" width="11.42578125" style="1"/>
    <col min="14083" max="14083" width="82.85546875" style="1" customWidth="1"/>
    <col min="14084" max="14084" width="10.42578125" style="1" customWidth="1"/>
    <col min="14085" max="14085" width="14.28515625" style="1" customWidth="1"/>
    <col min="14086" max="14087" width="13.28515625" style="1" bestFit="1" customWidth="1"/>
    <col min="14088" max="14088" width="12.140625" style="1" bestFit="1" customWidth="1"/>
    <col min="14089" max="14089" width="10.7109375" style="1" bestFit="1" customWidth="1"/>
    <col min="14090" max="14092" width="11.42578125" style="1"/>
    <col min="14093" max="14093" width="12" style="1" bestFit="1" customWidth="1"/>
    <col min="14094" max="14094" width="15.5703125" style="1" customWidth="1"/>
    <col min="14095" max="14338" width="11.42578125" style="1"/>
    <col min="14339" max="14339" width="82.85546875" style="1" customWidth="1"/>
    <col min="14340" max="14340" width="10.42578125" style="1" customWidth="1"/>
    <col min="14341" max="14341" width="14.28515625" style="1" customWidth="1"/>
    <col min="14342" max="14343" width="13.28515625" style="1" bestFit="1" customWidth="1"/>
    <col min="14344" max="14344" width="12.140625" style="1" bestFit="1" customWidth="1"/>
    <col min="14345" max="14345" width="10.7109375" style="1" bestFit="1" customWidth="1"/>
    <col min="14346" max="14348" width="11.42578125" style="1"/>
    <col min="14349" max="14349" width="12" style="1" bestFit="1" customWidth="1"/>
    <col min="14350" max="14350" width="15.5703125" style="1" customWidth="1"/>
    <col min="14351" max="14594" width="11.42578125" style="1"/>
    <col min="14595" max="14595" width="82.85546875" style="1" customWidth="1"/>
    <col min="14596" max="14596" width="10.42578125" style="1" customWidth="1"/>
    <col min="14597" max="14597" width="14.28515625" style="1" customWidth="1"/>
    <col min="14598" max="14599" width="13.28515625" style="1" bestFit="1" customWidth="1"/>
    <col min="14600" max="14600" width="12.140625" style="1" bestFit="1" customWidth="1"/>
    <col min="14601" max="14601" width="10.7109375" style="1" bestFit="1" customWidth="1"/>
    <col min="14602" max="14604" width="11.42578125" style="1"/>
    <col min="14605" max="14605" width="12" style="1" bestFit="1" customWidth="1"/>
    <col min="14606" max="14606" width="15.5703125" style="1" customWidth="1"/>
    <col min="14607" max="14850" width="11.42578125" style="1"/>
    <col min="14851" max="14851" width="82.85546875" style="1" customWidth="1"/>
    <col min="14852" max="14852" width="10.42578125" style="1" customWidth="1"/>
    <col min="14853" max="14853" width="14.28515625" style="1" customWidth="1"/>
    <col min="14854" max="14855" width="13.28515625" style="1" bestFit="1" customWidth="1"/>
    <col min="14856" max="14856" width="12.140625" style="1" bestFit="1" customWidth="1"/>
    <col min="14857" max="14857" width="10.7109375" style="1" bestFit="1" customWidth="1"/>
    <col min="14858" max="14860" width="11.42578125" style="1"/>
    <col min="14861" max="14861" width="12" style="1" bestFit="1" customWidth="1"/>
    <col min="14862" max="14862" width="15.5703125" style="1" customWidth="1"/>
    <col min="14863" max="15106" width="11.42578125" style="1"/>
    <col min="15107" max="15107" width="82.85546875" style="1" customWidth="1"/>
    <col min="15108" max="15108" width="10.42578125" style="1" customWidth="1"/>
    <col min="15109" max="15109" width="14.28515625" style="1" customWidth="1"/>
    <col min="15110" max="15111" width="13.28515625" style="1" bestFit="1" customWidth="1"/>
    <col min="15112" max="15112" width="12.140625" style="1" bestFit="1" customWidth="1"/>
    <col min="15113" max="15113" width="10.7109375" style="1" bestFit="1" customWidth="1"/>
    <col min="15114" max="15116" width="11.42578125" style="1"/>
    <col min="15117" max="15117" width="12" style="1" bestFit="1" customWidth="1"/>
    <col min="15118" max="15118" width="15.5703125" style="1" customWidth="1"/>
    <col min="15119" max="15362" width="11.42578125" style="1"/>
    <col min="15363" max="15363" width="82.85546875" style="1" customWidth="1"/>
    <col min="15364" max="15364" width="10.42578125" style="1" customWidth="1"/>
    <col min="15365" max="15365" width="14.28515625" style="1" customWidth="1"/>
    <col min="15366" max="15367" width="13.28515625" style="1" bestFit="1" customWidth="1"/>
    <col min="15368" max="15368" width="12.140625" style="1" bestFit="1" customWidth="1"/>
    <col min="15369" max="15369" width="10.7109375" style="1" bestFit="1" customWidth="1"/>
    <col min="15370" max="15372" width="11.42578125" style="1"/>
    <col min="15373" max="15373" width="12" style="1" bestFit="1" customWidth="1"/>
    <col min="15374" max="15374" width="15.5703125" style="1" customWidth="1"/>
    <col min="15375" max="15618" width="11.42578125" style="1"/>
    <col min="15619" max="15619" width="82.85546875" style="1" customWidth="1"/>
    <col min="15620" max="15620" width="10.42578125" style="1" customWidth="1"/>
    <col min="15621" max="15621" width="14.28515625" style="1" customWidth="1"/>
    <col min="15622" max="15623" width="13.28515625" style="1" bestFit="1" customWidth="1"/>
    <col min="15624" max="15624" width="12.140625" style="1" bestFit="1" customWidth="1"/>
    <col min="15625" max="15625" width="10.7109375" style="1" bestFit="1" customWidth="1"/>
    <col min="15626" max="15628" width="11.42578125" style="1"/>
    <col min="15629" max="15629" width="12" style="1" bestFit="1" customWidth="1"/>
    <col min="15630" max="15630" width="15.5703125" style="1" customWidth="1"/>
    <col min="15631" max="15874" width="11.42578125" style="1"/>
    <col min="15875" max="15875" width="82.85546875" style="1" customWidth="1"/>
    <col min="15876" max="15876" width="10.42578125" style="1" customWidth="1"/>
    <col min="15877" max="15877" width="14.28515625" style="1" customWidth="1"/>
    <col min="15878" max="15879" width="13.28515625" style="1" bestFit="1" customWidth="1"/>
    <col min="15880" max="15880" width="12.140625" style="1" bestFit="1" customWidth="1"/>
    <col min="15881" max="15881" width="10.7109375" style="1" bestFit="1" customWidth="1"/>
    <col min="15882" max="15884" width="11.42578125" style="1"/>
    <col min="15885" max="15885" width="12" style="1" bestFit="1" customWidth="1"/>
    <col min="15886" max="15886" width="15.5703125" style="1" customWidth="1"/>
    <col min="15887" max="16130" width="11.42578125" style="1"/>
    <col min="16131" max="16131" width="82.85546875" style="1" customWidth="1"/>
    <col min="16132" max="16132" width="10.42578125" style="1" customWidth="1"/>
    <col min="16133" max="16133" width="14.28515625" style="1" customWidth="1"/>
    <col min="16134" max="16135" width="13.28515625" style="1" bestFit="1" customWidth="1"/>
    <col min="16136" max="16136" width="12.140625" style="1" bestFit="1" customWidth="1"/>
    <col min="16137" max="16137" width="10.7109375" style="1" bestFit="1" customWidth="1"/>
    <col min="16138" max="16140" width="11.42578125" style="1"/>
    <col min="16141" max="16141" width="12" style="1" bestFit="1" customWidth="1"/>
    <col min="16142" max="16142" width="15.5703125" style="1" customWidth="1"/>
    <col min="16143" max="16384" width="11.42578125" style="1"/>
  </cols>
  <sheetData>
    <row r="1" spans="1:14" ht="15.75" hidden="1" x14ac:dyDescent="0.25">
      <c r="A1" s="523" t="s">
        <v>42</v>
      </c>
      <c r="B1" s="524"/>
      <c r="C1" s="524"/>
      <c r="D1" s="15"/>
      <c r="J1" s="6" t="s">
        <v>12</v>
      </c>
    </row>
    <row r="2" spans="1:14" ht="15.75" hidden="1" x14ac:dyDescent="0.25">
      <c r="A2" s="525" t="s">
        <v>53</v>
      </c>
      <c r="B2" s="525"/>
      <c r="C2" s="525"/>
      <c r="D2" s="15"/>
      <c r="J2" s="6" t="s">
        <v>11</v>
      </c>
    </row>
    <row r="3" spans="1:14" ht="6" hidden="1" customHeight="1" x14ac:dyDescent="0.2">
      <c r="A3" s="15"/>
      <c r="B3" s="15"/>
      <c r="C3" s="15"/>
      <c r="D3" s="15"/>
      <c r="J3" s="1">
        <v>0</v>
      </c>
    </row>
    <row r="4" spans="1:14" hidden="1" x14ac:dyDescent="0.2">
      <c r="A4" s="522" t="s">
        <v>43</v>
      </c>
      <c r="B4" s="522"/>
      <c r="C4" s="46" t="s">
        <v>44</v>
      </c>
      <c r="D4" s="15"/>
      <c r="J4" s="1">
        <v>1</v>
      </c>
    </row>
    <row r="5" spans="1:14" hidden="1" x14ac:dyDescent="0.2">
      <c r="A5" s="47" t="s">
        <v>45</v>
      </c>
      <c r="B5" s="7"/>
      <c r="C5" s="17">
        <v>5550</v>
      </c>
      <c r="D5" s="15"/>
      <c r="J5" s="1">
        <v>2</v>
      </c>
    </row>
    <row r="6" spans="1:14" hidden="1" x14ac:dyDescent="0.2">
      <c r="A6" s="48" t="s">
        <v>30</v>
      </c>
      <c r="B6" s="80">
        <f>+DatosIRPF!B6</f>
        <v>60</v>
      </c>
      <c r="C6" s="49">
        <f>IF(AND(B6&gt;65,B6&lt;75),918,IF(B6&gt;75,918+2040,0))</f>
        <v>0</v>
      </c>
      <c r="D6" s="15"/>
      <c r="E6" s="6"/>
      <c r="F6" s="6"/>
      <c r="G6" s="6"/>
      <c r="H6" s="6"/>
      <c r="I6" s="6"/>
      <c r="J6" s="1">
        <v>3</v>
      </c>
      <c r="K6" s="6"/>
      <c r="L6" s="6"/>
      <c r="M6" s="6"/>
      <c r="N6" s="10"/>
    </row>
    <row r="7" spans="1:14" hidden="1" x14ac:dyDescent="0.2">
      <c r="A7" s="48" t="s">
        <v>41</v>
      </c>
      <c r="B7" s="12" t="str">
        <f>+DatosIRPF!B7</f>
        <v>NO</v>
      </c>
      <c r="C7" s="49">
        <f>IF(B7="si",3246,0)</f>
        <v>0</v>
      </c>
      <c r="D7" s="15"/>
      <c r="E7" s="6"/>
      <c r="F7" s="6"/>
      <c r="G7" s="6"/>
      <c r="H7" s="6"/>
      <c r="I7" s="6"/>
      <c r="J7" s="1">
        <v>4</v>
      </c>
      <c r="K7" s="6"/>
      <c r="L7" s="6"/>
      <c r="M7" s="6"/>
      <c r="N7" s="10"/>
    </row>
    <row r="8" spans="1:14" hidden="1" x14ac:dyDescent="0.2">
      <c r="A8" s="48" t="s">
        <v>31</v>
      </c>
      <c r="B8" s="12" t="str">
        <f>+DatosIRPF!B8</f>
        <v>NO</v>
      </c>
      <c r="C8" s="49">
        <f>IF(B8="si",7242,0)</f>
        <v>0</v>
      </c>
      <c r="D8" s="15"/>
      <c r="E8" s="6"/>
      <c r="F8" s="6"/>
      <c r="G8" s="6"/>
      <c r="H8" s="6"/>
      <c r="I8" s="6"/>
      <c r="J8" s="1">
        <v>5</v>
      </c>
      <c r="K8" s="6"/>
      <c r="L8" s="6"/>
      <c r="M8" s="6"/>
      <c r="N8" s="10"/>
    </row>
    <row r="9" spans="1:14" ht="5.25" hidden="1" customHeight="1" x14ac:dyDescent="0.2">
      <c r="A9" s="15"/>
      <c r="B9" s="15"/>
      <c r="C9" s="15"/>
      <c r="D9" s="15"/>
      <c r="E9" s="6"/>
      <c r="F9" s="6"/>
      <c r="G9" s="6"/>
      <c r="H9" s="6"/>
      <c r="I9" s="6"/>
      <c r="J9" s="1">
        <v>6</v>
      </c>
      <c r="K9" s="6"/>
      <c r="L9" s="6"/>
      <c r="M9" s="6"/>
      <c r="N9" s="10"/>
    </row>
    <row r="10" spans="1:14" hidden="1" x14ac:dyDescent="0.2">
      <c r="A10" s="522" t="s">
        <v>58</v>
      </c>
      <c r="B10" s="522"/>
      <c r="C10" s="15"/>
      <c r="D10" s="15"/>
      <c r="E10" s="6"/>
      <c r="F10" s="6"/>
      <c r="G10" s="6"/>
      <c r="H10" s="6"/>
      <c r="I10" s="6"/>
      <c r="J10" s="1">
        <v>7</v>
      </c>
      <c r="K10" s="6"/>
      <c r="L10" s="6"/>
      <c r="M10" s="6"/>
      <c r="N10" s="10"/>
    </row>
    <row r="11" spans="1:14" ht="13.5" hidden="1" thickBot="1" x14ac:dyDescent="0.25">
      <c r="A11" s="48" t="s">
        <v>32</v>
      </c>
      <c r="B11" s="50" t="str">
        <f>+DatosIRPF!B11</f>
        <v>NO</v>
      </c>
      <c r="C11" s="15"/>
      <c r="D11" s="15"/>
      <c r="E11" s="6"/>
      <c r="F11" s="6"/>
      <c r="G11" s="6"/>
      <c r="H11" s="6"/>
      <c r="I11" s="6"/>
      <c r="J11" s="1">
        <v>8</v>
      </c>
      <c r="K11" s="6"/>
      <c r="L11" s="6"/>
    </row>
    <row r="12" spans="1:14" hidden="1" x14ac:dyDescent="0.2">
      <c r="A12" s="48" t="s">
        <v>33</v>
      </c>
      <c r="B12" s="50">
        <f>+DatosIRPF!B12</f>
        <v>0</v>
      </c>
      <c r="C12" s="49">
        <f>IF(B11="NO",IF(B12=1,2400,IF(B12=2,2400+2700,IF(B12=3,2400+2700+4000,IF(B12&gt;3,2400+2700+4000+((B12-3)*4500),0))))/2,IF(B12=1,2400,IF(B12=2,2400+2700,IF(B12=3,2400+2700+4000,IF(B12&gt;3,2400+2700+4000+((B12-3)*4500),0)))))</f>
        <v>0</v>
      </c>
      <c r="D12" s="15"/>
      <c r="E12" s="51"/>
      <c r="F12" s="514"/>
      <c r="G12" s="515"/>
      <c r="H12" s="516"/>
      <c r="I12" s="6"/>
      <c r="K12" s="6"/>
      <c r="L12" s="6"/>
    </row>
    <row r="13" spans="1:14" ht="13.5" hidden="1" thickBot="1" x14ac:dyDescent="0.25">
      <c r="A13" s="48" t="s">
        <v>34</v>
      </c>
      <c r="B13" s="50">
        <f>+DatosIRPF!B13</f>
        <v>0</v>
      </c>
      <c r="C13" s="49">
        <f>IF(B11="NO",+B13*2800/2,+B13*2800)</f>
        <v>0</v>
      </c>
      <c r="D13" s="15"/>
      <c r="E13" s="51"/>
      <c r="F13" s="52"/>
      <c r="G13" s="53"/>
      <c r="H13" s="54"/>
      <c r="I13" s="6"/>
      <c r="K13" s="6"/>
      <c r="L13" s="6"/>
    </row>
    <row r="14" spans="1:14" hidden="1" x14ac:dyDescent="0.2">
      <c r="A14" s="55" t="s">
        <v>35</v>
      </c>
      <c r="B14" s="50">
        <f>+DatosIRPF!B14</f>
        <v>0</v>
      </c>
      <c r="C14" s="49">
        <f>IF(B11="NO",(B14*2316*1.29)/2,(B14*2316*1.29))</f>
        <v>0</v>
      </c>
      <c r="D14" s="15"/>
      <c r="E14" s="51"/>
      <c r="F14" s="56"/>
      <c r="G14" s="57"/>
      <c r="H14" s="58"/>
      <c r="I14" s="6"/>
      <c r="K14" s="6"/>
      <c r="L14" s="6"/>
    </row>
    <row r="15" spans="1:14" hidden="1" x14ac:dyDescent="0.2">
      <c r="A15" s="55" t="s">
        <v>36</v>
      </c>
      <c r="B15" s="50">
        <f>+DatosIRPF!B15</f>
        <v>0</v>
      </c>
      <c r="C15" s="49">
        <f>IF(B11="NO",(B15*7038*1.29)/2,(B15*7038*1.29))</f>
        <v>0</v>
      </c>
      <c r="D15" s="15"/>
      <c r="E15" s="51"/>
      <c r="F15" s="59"/>
      <c r="G15" s="60"/>
      <c r="H15" s="61"/>
      <c r="I15" s="6"/>
      <c r="K15" s="6"/>
      <c r="L15" s="6"/>
    </row>
    <row r="16" spans="1:14" ht="4.5" hidden="1" customHeight="1" x14ac:dyDescent="0.2">
      <c r="A16" s="16"/>
      <c r="B16" s="16"/>
      <c r="C16" s="16"/>
      <c r="D16" s="15"/>
      <c r="E16" s="51"/>
      <c r="F16" s="59"/>
      <c r="G16" s="60"/>
      <c r="H16" s="61"/>
      <c r="I16" s="6"/>
      <c r="K16" s="6"/>
      <c r="L16" s="6"/>
    </row>
    <row r="17" spans="1:12" hidden="1" x14ac:dyDescent="0.2">
      <c r="A17" s="522" t="s">
        <v>59</v>
      </c>
      <c r="B17" s="522"/>
      <c r="C17" s="16"/>
      <c r="D17" s="15"/>
      <c r="E17" s="51"/>
      <c r="F17" s="59"/>
      <c r="G17" s="60"/>
      <c r="H17" s="61"/>
      <c r="I17" s="6"/>
      <c r="K17" s="6"/>
      <c r="L17" s="6"/>
    </row>
    <row r="18" spans="1:12" ht="13.5" hidden="1" thickBot="1" x14ac:dyDescent="0.25">
      <c r="A18" s="8" t="s">
        <v>61</v>
      </c>
      <c r="B18" s="12">
        <f>+DatosIRPF!B18</f>
        <v>1</v>
      </c>
      <c r="C18" s="16"/>
      <c r="D18" s="15"/>
      <c r="E18" s="51"/>
      <c r="F18" s="62"/>
      <c r="G18" s="63"/>
      <c r="H18" s="64"/>
      <c r="I18" s="6"/>
      <c r="K18" s="6"/>
      <c r="L18" s="6"/>
    </row>
    <row r="19" spans="1:12" hidden="1" x14ac:dyDescent="0.2">
      <c r="A19" s="48" t="s">
        <v>37</v>
      </c>
      <c r="B19" s="12">
        <f>+DatosIRPF!B19</f>
        <v>0</v>
      </c>
      <c r="C19" s="521">
        <f>((+B19*1150)+(B20*(1150+1400)))/B18</f>
        <v>0</v>
      </c>
      <c r="D19" s="15"/>
      <c r="E19" s="51"/>
      <c r="F19" s="51"/>
      <c r="G19" s="51"/>
      <c r="H19" s="51"/>
      <c r="I19" s="6"/>
      <c r="K19" s="6"/>
      <c r="L19" s="6"/>
    </row>
    <row r="20" spans="1:12" ht="13.5" hidden="1" thickBot="1" x14ac:dyDescent="0.25">
      <c r="A20" s="48" t="s">
        <v>38</v>
      </c>
      <c r="B20" s="12">
        <f>+DatosIRPF!B20</f>
        <v>0</v>
      </c>
      <c r="C20" s="521"/>
      <c r="D20" s="15"/>
      <c r="E20" s="51"/>
      <c r="F20" s="51"/>
      <c r="G20" s="51"/>
      <c r="H20" s="51"/>
      <c r="I20" s="6"/>
      <c r="K20" s="6"/>
      <c r="L20" s="6"/>
    </row>
    <row r="21" spans="1:12" ht="13.5" hidden="1" thickBot="1" x14ac:dyDescent="0.25">
      <c r="A21" s="55" t="s">
        <v>39</v>
      </c>
      <c r="B21" s="12">
        <f>+DatosIRPF!B21</f>
        <v>0</v>
      </c>
      <c r="C21" s="17">
        <f>(B21*3000)/B18</f>
        <v>0</v>
      </c>
      <c r="D21" s="15"/>
      <c r="E21" s="51"/>
      <c r="F21" s="517"/>
      <c r="G21" s="518"/>
      <c r="H21" s="51"/>
      <c r="I21" s="6"/>
      <c r="K21" s="6"/>
      <c r="L21" s="6"/>
    </row>
    <row r="22" spans="1:12" hidden="1" x14ac:dyDescent="0.2">
      <c r="A22" s="55" t="s">
        <v>40</v>
      </c>
      <c r="B22" s="12">
        <f>+DatosIRPF!B22</f>
        <v>0</v>
      </c>
      <c r="C22" s="17">
        <f>+(B22*9000)/B18</f>
        <v>0</v>
      </c>
      <c r="D22" s="15"/>
      <c r="E22" s="51"/>
      <c r="F22" s="65"/>
      <c r="G22" s="66"/>
      <c r="H22" s="51"/>
      <c r="I22" s="6"/>
      <c r="K22" s="6"/>
      <c r="L22" s="6"/>
    </row>
    <row r="23" spans="1:12" hidden="1" x14ac:dyDescent="0.2">
      <c r="A23" s="15"/>
      <c r="B23" s="15"/>
      <c r="C23" s="15"/>
      <c r="D23" s="15"/>
      <c r="E23" s="51"/>
      <c r="F23" s="67"/>
      <c r="G23" s="68"/>
      <c r="H23" s="51"/>
      <c r="I23" s="6"/>
      <c r="K23" s="6"/>
      <c r="L23" s="6"/>
    </row>
    <row r="24" spans="1:12" hidden="1" x14ac:dyDescent="0.2">
      <c r="A24" s="522" t="s">
        <v>47</v>
      </c>
      <c r="B24" s="522"/>
      <c r="C24" s="15"/>
      <c r="D24" s="15"/>
      <c r="E24" s="51"/>
      <c r="F24" s="67"/>
      <c r="G24" s="68"/>
      <c r="H24" s="51"/>
      <c r="I24" s="6"/>
      <c r="J24" s="1">
        <v>8</v>
      </c>
      <c r="K24" s="6"/>
      <c r="L24" s="6"/>
    </row>
    <row r="25" spans="1:12" hidden="1" x14ac:dyDescent="0.2">
      <c r="A25" s="69" t="s">
        <v>29</v>
      </c>
      <c r="B25" s="5">
        <f>+RESULTADO!D46</f>
        <v>32106.494453000003</v>
      </c>
      <c r="C25" s="15"/>
      <c r="D25" s="15"/>
      <c r="E25" s="51"/>
      <c r="F25" s="67"/>
      <c r="G25" s="68"/>
      <c r="H25" s="51"/>
      <c r="I25" s="6"/>
      <c r="K25" s="6"/>
      <c r="L25" s="6"/>
    </row>
    <row r="26" spans="1:12" hidden="1" x14ac:dyDescent="0.2">
      <c r="A26" s="15"/>
      <c r="B26" s="15"/>
      <c r="C26" s="15"/>
      <c r="D26" s="15"/>
      <c r="E26" s="51"/>
      <c r="F26" s="67"/>
      <c r="G26" s="68"/>
      <c r="H26" s="70"/>
    </row>
    <row r="27" spans="1:12" ht="13.5" hidden="1" thickBot="1" x14ac:dyDescent="0.25">
      <c r="A27" s="522" t="s">
        <v>49</v>
      </c>
      <c r="B27" s="522"/>
      <c r="C27" s="15"/>
      <c r="D27" s="15"/>
      <c r="E27" s="51"/>
      <c r="F27" s="71"/>
      <c r="G27" s="72"/>
      <c r="H27" s="51"/>
    </row>
    <row r="28" spans="1:12" hidden="1" x14ac:dyDescent="0.2">
      <c r="A28" s="47" t="s">
        <v>46</v>
      </c>
      <c r="B28" s="18">
        <v>2000</v>
      </c>
      <c r="C28" s="15"/>
      <c r="D28" s="15"/>
      <c r="E28" s="51"/>
      <c r="F28" s="51"/>
      <c r="G28" s="51"/>
      <c r="H28" s="51"/>
    </row>
    <row r="29" spans="1:12" ht="13.5" hidden="1" thickBot="1" x14ac:dyDescent="0.25">
      <c r="A29" s="47" t="s">
        <v>96</v>
      </c>
      <c r="B29" s="18">
        <v>600</v>
      </c>
      <c r="C29" s="15"/>
      <c r="D29" s="15"/>
      <c r="E29" s="51"/>
      <c r="F29" s="51"/>
      <c r="G29" s="51"/>
      <c r="H29" s="51"/>
    </row>
    <row r="30" spans="1:12" ht="13.5" hidden="1" thickBot="1" x14ac:dyDescent="0.25">
      <c r="A30" s="48" t="s">
        <v>41</v>
      </c>
      <c r="B30" s="17"/>
      <c r="C30" s="15"/>
      <c r="D30" s="15"/>
      <c r="E30" s="51"/>
      <c r="F30" s="517"/>
      <c r="G30" s="518"/>
      <c r="H30" s="51"/>
    </row>
    <row r="31" spans="1:12" hidden="1" x14ac:dyDescent="0.2">
      <c r="A31" s="48" t="s">
        <v>31</v>
      </c>
      <c r="B31" s="17"/>
      <c r="C31" s="15"/>
      <c r="D31" s="15"/>
      <c r="E31" s="51"/>
      <c r="F31" s="65"/>
      <c r="G31" s="66"/>
      <c r="H31" s="51"/>
    </row>
    <row r="32" spans="1:12" hidden="1" x14ac:dyDescent="0.2">
      <c r="A32" s="55" t="s">
        <v>60</v>
      </c>
      <c r="B32" s="18">
        <f>IF(B12&gt;2,600,0)</f>
        <v>0</v>
      </c>
      <c r="C32" s="15"/>
      <c r="D32" s="15"/>
      <c r="E32" s="51"/>
      <c r="F32" s="67"/>
      <c r="G32" s="68"/>
      <c r="H32" s="51"/>
    </row>
    <row r="33" spans="1:8" hidden="1" x14ac:dyDescent="0.2">
      <c r="A33" s="47"/>
      <c r="B33" s="18"/>
      <c r="C33" s="15"/>
      <c r="D33" s="15"/>
      <c r="E33" s="51"/>
      <c r="F33" s="67"/>
      <c r="G33" s="68"/>
      <c r="H33" s="73"/>
    </row>
    <row r="34" spans="1:8" hidden="1" x14ac:dyDescent="0.2">
      <c r="A34" s="11" t="s">
        <v>48</v>
      </c>
      <c r="B34" s="18">
        <f>+B25-B29-B28-B30-B31-B32-B33</f>
        <v>29506.494453000003</v>
      </c>
      <c r="C34" s="5">
        <f>SUM(C5:C33)</f>
        <v>5550</v>
      </c>
      <c r="D34" s="15"/>
      <c r="E34" s="51"/>
      <c r="F34" s="67"/>
      <c r="G34" s="68"/>
      <c r="H34" s="70"/>
    </row>
    <row r="35" spans="1:8" hidden="1" x14ac:dyDescent="0.2">
      <c r="A35" s="11" t="s">
        <v>50</v>
      </c>
      <c r="B35" s="18">
        <f>IF(B34&lt;12450.0000001,B34*19%,IF(AND(B34&gt;12450.000001,B34&lt;20200.0000001),((B34-12450)*24%)+2362.5,IF(AND(B34&gt;20200.000001,B34&lt;35200.0000001),((B34-20200)*30%)+4225.5,IF(AND(B34&gt;35200.000001,B34&lt;60000.0000001),((B34-35200)*37%)+8725.5,IF(B34&gt;60000.000001,((B34-60000)*45%)+17901.5,0)))))</f>
        <v>7017.4483359000005</v>
      </c>
      <c r="C35" s="5">
        <f>IF(C34&lt;12450.0000001,C34*19%,IF(AND(C34&gt;12450.000001,C34&lt;20200.0000001),((C34-12450)*24%)+2365.5,IF(AND(C34&gt;20200.000001,C34&lt;35200.0000001),((C34-20200)*30%)+4225.5,IF(AND(C34&gt;35200.000001,C34&lt;60000.0000001),((C34-35200)*37%)+8725.5,IF(C34&gt;60000.000001,((C34-60000)*45%)+17901.5,0)))))</f>
        <v>1054.5</v>
      </c>
      <c r="D35" s="15"/>
      <c r="E35" s="51"/>
      <c r="F35" s="67"/>
      <c r="G35" s="68"/>
      <c r="H35" s="70"/>
    </row>
    <row r="36" spans="1:8" ht="13.5" hidden="1" thickBot="1" x14ac:dyDescent="0.25">
      <c r="A36" s="11" t="s">
        <v>51</v>
      </c>
      <c r="B36" s="18">
        <f>+B35-C35</f>
        <v>5962.9483359000005</v>
      </c>
      <c r="C36" s="15"/>
      <c r="D36" s="15"/>
      <c r="E36" s="51"/>
      <c r="F36" s="71"/>
      <c r="G36" s="72"/>
      <c r="H36" s="70"/>
    </row>
    <row r="37" spans="1:8" hidden="1" x14ac:dyDescent="0.2">
      <c r="A37" s="11" t="s">
        <v>52</v>
      </c>
      <c r="B37" s="74">
        <f>+B36/B25</f>
        <v>0.18572405482102788</v>
      </c>
      <c r="C37" s="15"/>
      <c r="D37" s="15"/>
      <c r="E37" s="51"/>
      <c r="F37" s="51"/>
      <c r="G37" s="51"/>
      <c r="H37" s="70"/>
    </row>
    <row r="38" spans="1:8" ht="13.5" hidden="1" thickBot="1" x14ac:dyDescent="0.25">
      <c r="A38" s="15"/>
      <c r="B38" s="15"/>
      <c r="C38" s="15"/>
      <c r="D38" s="15"/>
      <c r="E38" s="51"/>
      <c r="F38" s="51"/>
      <c r="G38" s="51"/>
      <c r="H38" s="70"/>
    </row>
    <row r="39" spans="1:8" ht="13.5" hidden="1" thickBot="1" x14ac:dyDescent="0.25">
      <c r="E39" s="51"/>
      <c r="F39" s="519"/>
      <c r="G39" s="520"/>
      <c r="H39" s="75"/>
    </row>
    <row r="40" spans="1:8" ht="13.5" hidden="1" thickBot="1" x14ac:dyDescent="0.25">
      <c r="E40" s="76"/>
      <c r="F40" s="77"/>
      <c r="G40" s="78"/>
      <c r="H40" s="79"/>
    </row>
  </sheetData>
  <sheetProtection algorithmName="SHA-512" hashValue="B+iB2r/w486ygPnMK/rcv2NMiUDouNzl8MgQkbKaSu9y4gdFKnixrv1NSHLH8lCRC7beD3bIWnSVs/zOwd9mjA==" saltValue="8DDwddMbwzRS50z+zkuYIA==" spinCount="100000" sheet="1" objects="1" scenarios="1"/>
  <mergeCells count="12">
    <mergeCell ref="A24:B24"/>
    <mergeCell ref="A27:B27"/>
    <mergeCell ref="A1:C1"/>
    <mergeCell ref="A2:C2"/>
    <mergeCell ref="A4:B4"/>
    <mergeCell ref="A10:B10"/>
    <mergeCell ref="A17:B17"/>
    <mergeCell ref="F12:H12"/>
    <mergeCell ref="F21:G21"/>
    <mergeCell ref="F30:G30"/>
    <mergeCell ref="F39:G39"/>
    <mergeCell ref="C19:C20"/>
  </mergeCells>
  <dataValidations disablePrompts="1" count="2">
    <dataValidation type="list" allowBlank="1" showInputMessage="1" showErrorMessage="1" sqref="B11:B15" xr:uid="{00000000-0002-0000-0500-000000000000}">
      <formula1>$J$1:$J$2</formula1>
    </dataValidation>
    <dataValidation type="list" allowBlank="1" showInputMessage="1" showErrorMessage="1" sqref="B18:B22" xr:uid="{00000000-0002-0000-0500-000001000000}">
      <formula1>$J$4:$J$10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0"/>
  <sheetViews>
    <sheetView topLeftCell="A1048576" workbookViewId="0">
      <selection sqref="A1:XFD1048576"/>
    </sheetView>
    <sheetView topLeftCell="A1048576" workbookViewId="1">
      <selection sqref="A1:C1"/>
    </sheetView>
  </sheetViews>
  <sheetFormatPr baseColWidth="10" defaultRowHeight="12.75" zeroHeight="1" x14ac:dyDescent="0.2"/>
  <cols>
    <col min="1" max="1" width="80.7109375" style="1" bestFit="1" customWidth="1"/>
    <col min="2" max="2" width="9.140625" style="1" bestFit="1" customWidth="1"/>
    <col min="3" max="3" width="11.85546875" style="1" customWidth="1"/>
    <col min="4" max="4" width="33.5703125" style="1" customWidth="1"/>
    <col min="5" max="7" width="13.28515625" style="1" customWidth="1"/>
    <col min="8" max="8" width="12.140625" style="1" customWidth="1"/>
    <col min="9" max="9" width="10.7109375" style="1" customWidth="1"/>
    <col min="10" max="10" width="3.85546875" style="1" customWidth="1"/>
    <col min="11" max="12" width="11.42578125" style="1" customWidth="1"/>
    <col min="13" max="13" width="12" style="1" customWidth="1"/>
    <col min="14" max="14" width="15.5703125" style="1" customWidth="1"/>
    <col min="15" max="19" width="11.42578125" style="1" customWidth="1"/>
    <col min="20" max="258" width="11.42578125" style="1"/>
    <col min="259" max="259" width="82.85546875" style="1" customWidth="1"/>
    <col min="260" max="260" width="10.42578125" style="1" customWidth="1"/>
    <col min="261" max="261" width="14.28515625" style="1" customWidth="1"/>
    <col min="262" max="263" width="13.28515625" style="1" bestFit="1" customWidth="1"/>
    <col min="264" max="264" width="12.140625" style="1" bestFit="1" customWidth="1"/>
    <col min="265" max="265" width="10.7109375" style="1" bestFit="1" customWidth="1"/>
    <col min="266" max="268" width="11.42578125" style="1"/>
    <col min="269" max="269" width="12" style="1" bestFit="1" customWidth="1"/>
    <col min="270" max="270" width="15.5703125" style="1" customWidth="1"/>
    <col min="271" max="514" width="11.42578125" style="1"/>
    <col min="515" max="515" width="82.85546875" style="1" customWidth="1"/>
    <col min="516" max="516" width="10.42578125" style="1" customWidth="1"/>
    <col min="517" max="517" width="14.28515625" style="1" customWidth="1"/>
    <col min="518" max="519" width="13.28515625" style="1" bestFit="1" customWidth="1"/>
    <col min="520" max="520" width="12.140625" style="1" bestFit="1" customWidth="1"/>
    <col min="521" max="521" width="10.7109375" style="1" bestFit="1" customWidth="1"/>
    <col min="522" max="524" width="11.42578125" style="1"/>
    <col min="525" max="525" width="12" style="1" bestFit="1" customWidth="1"/>
    <col min="526" max="526" width="15.5703125" style="1" customWidth="1"/>
    <col min="527" max="770" width="11.42578125" style="1"/>
    <col min="771" max="771" width="82.85546875" style="1" customWidth="1"/>
    <col min="772" max="772" width="10.42578125" style="1" customWidth="1"/>
    <col min="773" max="773" width="14.28515625" style="1" customWidth="1"/>
    <col min="774" max="775" width="13.28515625" style="1" bestFit="1" customWidth="1"/>
    <col min="776" max="776" width="12.140625" style="1" bestFit="1" customWidth="1"/>
    <col min="777" max="777" width="10.7109375" style="1" bestFit="1" customWidth="1"/>
    <col min="778" max="780" width="11.42578125" style="1"/>
    <col min="781" max="781" width="12" style="1" bestFit="1" customWidth="1"/>
    <col min="782" max="782" width="15.5703125" style="1" customWidth="1"/>
    <col min="783" max="1026" width="11.42578125" style="1"/>
    <col min="1027" max="1027" width="82.85546875" style="1" customWidth="1"/>
    <col min="1028" max="1028" width="10.42578125" style="1" customWidth="1"/>
    <col min="1029" max="1029" width="14.28515625" style="1" customWidth="1"/>
    <col min="1030" max="1031" width="13.28515625" style="1" bestFit="1" customWidth="1"/>
    <col min="1032" max="1032" width="12.140625" style="1" bestFit="1" customWidth="1"/>
    <col min="1033" max="1033" width="10.7109375" style="1" bestFit="1" customWidth="1"/>
    <col min="1034" max="1036" width="11.42578125" style="1"/>
    <col min="1037" max="1037" width="12" style="1" bestFit="1" customWidth="1"/>
    <col min="1038" max="1038" width="15.5703125" style="1" customWidth="1"/>
    <col min="1039" max="1282" width="11.42578125" style="1"/>
    <col min="1283" max="1283" width="82.85546875" style="1" customWidth="1"/>
    <col min="1284" max="1284" width="10.42578125" style="1" customWidth="1"/>
    <col min="1285" max="1285" width="14.28515625" style="1" customWidth="1"/>
    <col min="1286" max="1287" width="13.28515625" style="1" bestFit="1" customWidth="1"/>
    <col min="1288" max="1288" width="12.140625" style="1" bestFit="1" customWidth="1"/>
    <col min="1289" max="1289" width="10.7109375" style="1" bestFit="1" customWidth="1"/>
    <col min="1290" max="1292" width="11.42578125" style="1"/>
    <col min="1293" max="1293" width="12" style="1" bestFit="1" customWidth="1"/>
    <col min="1294" max="1294" width="15.5703125" style="1" customWidth="1"/>
    <col min="1295" max="1538" width="11.42578125" style="1"/>
    <col min="1539" max="1539" width="82.85546875" style="1" customWidth="1"/>
    <col min="1540" max="1540" width="10.42578125" style="1" customWidth="1"/>
    <col min="1541" max="1541" width="14.28515625" style="1" customWidth="1"/>
    <col min="1542" max="1543" width="13.28515625" style="1" bestFit="1" customWidth="1"/>
    <col min="1544" max="1544" width="12.140625" style="1" bestFit="1" customWidth="1"/>
    <col min="1545" max="1545" width="10.7109375" style="1" bestFit="1" customWidth="1"/>
    <col min="1546" max="1548" width="11.42578125" style="1"/>
    <col min="1549" max="1549" width="12" style="1" bestFit="1" customWidth="1"/>
    <col min="1550" max="1550" width="15.5703125" style="1" customWidth="1"/>
    <col min="1551" max="1794" width="11.42578125" style="1"/>
    <col min="1795" max="1795" width="82.85546875" style="1" customWidth="1"/>
    <col min="1796" max="1796" width="10.42578125" style="1" customWidth="1"/>
    <col min="1797" max="1797" width="14.28515625" style="1" customWidth="1"/>
    <col min="1798" max="1799" width="13.28515625" style="1" bestFit="1" customWidth="1"/>
    <col min="1800" max="1800" width="12.140625" style="1" bestFit="1" customWidth="1"/>
    <col min="1801" max="1801" width="10.7109375" style="1" bestFit="1" customWidth="1"/>
    <col min="1802" max="1804" width="11.42578125" style="1"/>
    <col min="1805" max="1805" width="12" style="1" bestFit="1" customWidth="1"/>
    <col min="1806" max="1806" width="15.5703125" style="1" customWidth="1"/>
    <col min="1807" max="2050" width="11.42578125" style="1"/>
    <col min="2051" max="2051" width="82.85546875" style="1" customWidth="1"/>
    <col min="2052" max="2052" width="10.42578125" style="1" customWidth="1"/>
    <col min="2053" max="2053" width="14.28515625" style="1" customWidth="1"/>
    <col min="2054" max="2055" width="13.28515625" style="1" bestFit="1" customWidth="1"/>
    <col min="2056" max="2056" width="12.140625" style="1" bestFit="1" customWidth="1"/>
    <col min="2057" max="2057" width="10.7109375" style="1" bestFit="1" customWidth="1"/>
    <col min="2058" max="2060" width="11.42578125" style="1"/>
    <col min="2061" max="2061" width="12" style="1" bestFit="1" customWidth="1"/>
    <col min="2062" max="2062" width="15.5703125" style="1" customWidth="1"/>
    <col min="2063" max="2306" width="11.42578125" style="1"/>
    <col min="2307" max="2307" width="82.85546875" style="1" customWidth="1"/>
    <col min="2308" max="2308" width="10.42578125" style="1" customWidth="1"/>
    <col min="2309" max="2309" width="14.28515625" style="1" customWidth="1"/>
    <col min="2310" max="2311" width="13.28515625" style="1" bestFit="1" customWidth="1"/>
    <col min="2312" max="2312" width="12.140625" style="1" bestFit="1" customWidth="1"/>
    <col min="2313" max="2313" width="10.7109375" style="1" bestFit="1" customWidth="1"/>
    <col min="2314" max="2316" width="11.42578125" style="1"/>
    <col min="2317" max="2317" width="12" style="1" bestFit="1" customWidth="1"/>
    <col min="2318" max="2318" width="15.5703125" style="1" customWidth="1"/>
    <col min="2319" max="2562" width="11.42578125" style="1"/>
    <col min="2563" max="2563" width="82.85546875" style="1" customWidth="1"/>
    <col min="2564" max="2564" width="10.42578125" style="1" customWidth="1"/>
    <col min="2565" max="2565" width="14.28515625" style="1" customWidth="1"/>
    <col min="2566" max="2567" width="13.28515625" style="1" bestFit="1" customWidth="1"/>
    <col min="2568" max="2568" width="12.140625" style="1" bestFit="1" customWidth="1"/>
    <col min="2569" max="2569" width="10.7109375" style="1" bestFit="1" customWidth="1"/>
    <col min="2570" max="2572" width="11.42578125" style="1"/>
    <col min="2573" max="2573" width="12" style="1" bestFit="1" customWidth="1"/>
    <col min="2574" max="2574" width="15.5703125" style="1" customWidth="1"/>
    <col min="2575" max="2818" width="11.42578125" style="1"/>
    <col min="2819" max="2819" width="82.85546875" style="1" customWidth="1"/>
    <col min="2820" max="2820" width="10.42578125" style="1" customWidth="1"/>
    <col min="2821" max="2821" width="14.28515625" style="1" customWidth="1"/>
    <col min="2822" max="2823" width="13.28515625" style="1" bestFit="1" customWidth="1"/>
    <col min="2824" max="2824" width="12.140625" style="1" bestFit="1" customWidth="1"/>
    <col min="2825" max="2825" width="10.7109375" style="1" bestFit="1" customWidth="1"/>
    <col min="2826" max="2828" width="11.42578125" style="1"/>
    <col min="2829" max="2829" width="12" style="1" bestFit="1" customWidth="1"/>
    <col min="2830" max="2830" width="15.5703125" style="1" customWidth="1"/>
    <col min="2831" max="3074" width="11.42578125" style="1"/>
    <col min="3075" max="3075" width="82.85546875" style="1" customWidth="1"/>
    <col min="3076" max="3076" width="10.42578125" style="1" customWidth="1"/>
    <col min="3077" max="3077" width="14.28515625" style="1" customWidth="1"/>
    <col min="3078" max="3079" width="13.28515625" style="1" bestFit="1" customWidth="1"/>
    <col min="3080" max="3080" width="12.140625" style="1" bestFit="1" customWidth="1"/>
    <col min="3081" max="3081" width="10.7109375" style="1" bestFit="1" customWidth="1"/>
    <col min="3082" max="3084" width="11.42578125" style="1"/>
    <col min="3085" max="3085" width="12" style="1" bestFit="1" customWidth="1"/>
    <col min="3086" max="3086" width="15.5703125" style="1" customWidth="1"/>
    <col min="3087" max="3330" width="11.42578125" style="1"/>
    <col min="3331" max="3331" width="82.85546875" style="1" customWidth="1"/>
    <col min="3332" max="3332" width="10.42578125" style="1" customWidth="1"/>
    <col min="3333" max="3333" width="14.28515625" style="1" customWidth="1"/>
    <col min="3334" max="3335" width="13.28515625" style="1" bestFit="1" customWidth="1"/>
    <col min="3336" max="3336" width="12.140625" style="1" bestFit="1" customWidth="1"/>
    <col min="3337" max="3337" width="10.7109375" style="1" bestFit="1" customWidth="1"/>
    <col min="3338" max="3340" width="11.42578125" style="1"/>
    <col min="3341" max="3341" width="12" style="1" bestFit="1" customWidth="1"/>
    <col min="3342" max="3342" width="15.5703125" style="1" customWidth="1"/>
    <col min="3343" max="3586" width="11.42578125" style="1"/>
    <col min="3587" max="3587" width="82.85546875" style="1" customWidth="1"/>
    <col min="3588" max="3588" width="10.42578125" style="1" customWidth="1"/>
    <col min="3589" max="3589" width="14.28515625" style="1" customWidth="1"/>
    <col min="3590" max="3591" width="13.28515625" style="1" bestFit="1" customWidth="1"/>
    <col min="3592" max="3592" width="12.140625" style="1" bestFit="1" customWidth="1"/>
    <col min="3593" max="3593" width="10.7109375" style="1" bestFit="1" customWidth="1"/>
    <col min="3594" max="3596" width="11.42578125" style="1"/>
    <col min="3597" max="3597" width="12" style="1" bestFit="1" customWidth="1"/>
    <col min="3598" max="3598" width="15.5703125" style="1" customWidth="1"/>
    <col min="3599" max="3842" width="11.42578125" style="1"/>
    <col min="3843" max="3843" width="82.85546875" style="1" customWidth="1"/>
    <col min="3844" max="3844" width="10.42578125" style="1" customWidth="1"/>
    <col min="3845" max="3845" width="14.28515625" style="1" customWidth="1"/>
    <col min="3846" max="3847" width="13.28515625" style="1" bestFit="1" customWidth="1"/>
    <col min="3848" max="3848" width="12.140625" style="1" bestFit="1" customWidth="1"/>
    <col min="3849" max="3849" width="10.7109375" style="1" bestFit="1" customWidth="1"/>
    <col min="3850" max="3852" width="11.42578125" style="1"/>
    <col min="3853" max="3853" width="12" style="1" bestFit="1" customWidth="1"/>
    <col min="3854" max="3854" width="15.5703125" style="1" customWidth="1"/>
    <col min="3855" max="4098" width="11.42578125" style="1"/>
    <col min="4099" max="4099" width="82.85546875" style="1" customWidth="1"/>
    <col min="4100" max="4100" width="10.42578125" style="1" customWidth="1"/>
    <col min="4101" max="4101" width="14.28515625" style="1" customWidth="1"/>
    <col min="4102" max="4103" width="13.28515625" style="1" bestFit="1" customWidth="1"/>
    <col min="4104" max="4104" width="12.140625" style="1" bestFit="1" customWidth="1"/>
    <col min="4105" max="4105" width="10.7109375" style="1" bestFit="1" customWidth="1"/>
    <col min="4106" max="4108" width="11.42578125" style="1"/>
    <col min="4109" max="4109" width="12" style="1" bestFit="1" customWidth="1"/>
    <col min="4110" max="4110" width="15.5703125" style="1" customWidth="1"/>
    <col min="4111" max="4354" width="11.42578125" style="1"/>
    <col min="4355" max="4355" width="82.85546875" style="1" customWidth="1"/>
    <col min="4356" max="4356" width="10.42578125" style="1" customWidth="1"/>
    <col min="4357" max="4357" width="14.28515625" style="1" customWidth="1"/>
    <col min="4358" max="4359" width="13.28515625" style="1" bestFit="1" customWidth="1"/>
    <col min="4360" max="4360" width="12.140625" style="1" bestFit="1" customWidth="1"/>
    <col min="4361" max="4361" width="10.7109375" style="1" bestFit="1" customWidth="1"/>
    <col min="4362" max="4364" width="11.42578125" style="1"/>
    <col min="4365" max="4365" width="12" style="1" bestFit="1" customWidth="1"/>
    <col min="4366" max="4366" width="15.5703125" style="1" customWidth="1"/>
    <col min="4367" max="4610" width="11.42578125" style="1"/>
    <col min="4611" max="4611" width="82.85546875" style="1" customWidth="1"/>
    <col min="4612" max="4612" width="10.42578125" style="1" customWidth="1"/>
    <col min="4613" max="4613" width="14.28515625" style="1" customWidth="1"/>
    <col min="4614" max="4615" width="13.28515625" style="1" bestFit="1" customWidth="1"/>
    <col min="4616" max="4616" width="12.140625" style="1" bestFit="1" customWidth="1"/>
    <col min="4617" max="4617" width="10.7109375" style="1" bestFit="1" customWidth="1"/>
    <col min="4618" max="4620" width="11.42578125" style="1"/>
    <col min="4621" max="4621" width="12" style="1" bestFit="1" customWidth="1"/>
    <col min="4622" max="4622" width="15.5703125" style="1" customWidth="1"/>
    <col min="4623" max="4866" width="11.42578125" style="1"/>
    <col min="4867" max="4867" width="82.85546875" style="1" customWidth="1"/>
    <col min="4868" max="4868" width="10.42578125" style="1" customWidth="1"/>
    <col min="4869" max="4869" width="14.28515625" style="1" customWidth="1"/>
    <col min="4870" max="4871" width="13.28515625" style="1" bestFit="1" customWidth="1"/>
    <col min="4872" max="4872" width="12.140625" style="1" bestFit="1" customWidth="1"/>
    <col min="4873" max="4873" width="10.7109375" style="1" bestFit="1" customWidth="1"/>
    <col min="4874" max="4876" width="11.42578125" style="1"/>
    <col min="4877" max="4877" width="12" style="1" bestFit="1" customWidth="1"/>
    <col min="4878" max="4878" width="15.5703125" style="1" customWidth="1"/>
    <col min="4879" max="5122" width="11.42578125" style="1"/>
    <col min="5123" max="5123" width="82.85546875" style="1" customWidth="1"/>
    <col min="5124" max="5124" width="10.42578125" style="1" customWidth="1"/>
    <col min="5125" max="5125" width="14.28515625" style="1" customWidth="1"/>
    <col min="5126" max="5127" width="13.28515625" style="1" bestFit="1" customWidth="1"/>
    <col min="5128" max="5128" width="12.140625" style="1" bestFit="1" customWidth="1"/>
    <col min="5129" max="5129" width="10.7109375" style="1" bestFit="1" customWidth="1"/>
    <col min="5130" max="5132" width="11.42578125" style="1"/>
    <col min="5133" max="5133" width="12" style="1" bestFit="1" customWidth="1"/>
    <col min="5134" max="5134" width="15.5703125" style="1" customWidth="1"/>
    <col min="5135" max="5378" width="11.42578125" style="1"/>
    <col min="5379" max="5379" width="82.85546875" style="1" customWidth="1"/>
    <col min="5380" max="5380" width="10.42578125" style="1" customWidth="1"/>
    <col min="5381" max="5381" width="14.28515625" style="1" customWidth="1"/>
    <col min="5382" max="5383" width="13.28515625" style="1" bestFit="1" customWidth="1"/>
    <col min="5384" max="5384" width="12.140625" style="1" bestFit="1" customWidth="1"/>
    <col min="5385" max="5385" width="10.7109375" style="1" bestFit="1" customWidth="1"/>
    <col min="5386" max="5388" width="11.42578125" style="1"/>
    <col min="5389" max="5389" width="12" style="1" bestFit="1" customWidth="1"/>
    <col min="5390" max="5390" width="15.5703125" style="1" customWidth="1"/>
    <col min="5391" max="5634" width="11.42578125" style="1"/>
    <col min="5635" max="5635" width="82.85546875" style="1" customWidth="1"/>
    <col min="5636" max="5636" width="10.42578125" style="1" customWidth="1"/>
    <col min="5637" max="5637" width="14.28515625" style="1" customWidth="1"/>
    <col min="5638" max="5639" width="13.28515625" style="1" bestFit="1" customWidth="1"/>
    <col min="5640" max="5640" width="12.140625" style="1" bestFit="1" customWidth="1"/>
    <col min="5641" max="5641" width="10.7109375" style="1" bestFit="1" customWidth="1"/>
    <col min="5642" max="5644" width="11.42578125" style="1"/>
    <col min="5645" max="5645" width="12" style="1" bestFit="1" customWidth="1"/>
    <col min="5646" max="5646" width="15.5703125" style="1" customWidth="1"/>
    <col min="5647" max="5890" width="11.42578125" style="1"/>
    <col min="5891" max="5891" width="82.85546875" style="1" customWidth="1"/>
    <col min="5892" max="5892" width="10.42578125" style="1" customWidth="1"/>
    <col min="5893" max="5893" width="14.28515625" style="1" customWidth="1"/>
    <col min="5894" max="5895" width="13.28515625" style="1" bestFit="1" customWidth="1"/>
    <col min="5896" max="5896" width="12.140625" style="1" bestFit="1" customWidth="1"/>
    <col min="5897" max="5897" width="10.7109375" style="1" bestFit="1" customWidth="1"/>
    <col min="5898" max="5900" width="11.42578125" style="1"/>
    <col min="5901" max="5901" width="12" style="1" bestFit="1" customWidth="1"/>
    <col min="5902" max="5902" width="15.5703125" style="1" customWidth="1"/>
    <col min="5903" max="6146" width="11.42578125" style="1"/>
    <col min="6147" max="6147" width="82.85546875" style="1" customWidth="1"/>
    <col min="6148" max="6148" width="10.42578125" style="1" customWidth="1"/>
    <col min="6149" max="6149" width="14.28515625" style="1" customWidth="1"/>
    <col min="6150" max="6151" width="13.28515625" style="1" bestFit="1" customWidth="1"/>
    <col min="6152" max="6152" width="12.140625" style="1" bestFit="1" customWidth="1"/>
    <col min="6153" max="6153" width="10.7109375" style="1" bestFit="1" customWidth="1"/>
    <col min="6154" max="6156" width="11.42578125" style="1"/>
    <col min="6157" max="6157" width="12" style="1" bestFit="1" customWidth="1"/>
    <col min="6158" max="6158" width="15.5703125" style="1" customWidth="1"/>
    <col min="6159" max="6402" width="11.42578125" style="1"/>
    <col min="6403" max="6403" width="82.85546875" style="1" customWidth="1"/>
    <col min="6404" max="6404" width="10.42578125" style="1" customWidth="1"/>
    <col min="6405" max="6405" width="14.28515625" style="1" customWidth="1"/>
    <col min="6406" max="6407" width="13.28515625" style="1" bestFit="1" customWidth="1"/>
    <col min="6408" max="6408" width="12.140625" style="1" bestFit="1" customWidth="1"/>
    <col min="6409" max="6409" width="10.7109375" style="1" bestFit="1" customWidth="1"/>
    <col min="6410" max="6412" width="11.42578125" style="1"/>
    <col min="6413" max="6413" width="12" style="1" bestFit="1" customWidth="1"/>
    <col min="6414" max="6414" width="15.5703125" style="1" customWidth="1"/>
    <col min="6415" max="6658" width="11.42578125" style="1"/>
    <col min="6659" max="6659" width="82.85546875" style="1" customWidth="1"/>
    <col min="6660" max="6660" width="10.42578125" style="1" customWidth="1"/>
    <col min="6661" max="6661" width="14.28515625" style="1" customWidth="1"/>
    <col min="6662" max="6663" width="13.28515625" style="1" bestFit="1" customWidth="1"/>
    <col min="6664" max="6664" width="12.140625" style="1" bestFit="1" customWidth="1"/>
    <col min="6665" max="6665" width="10.7109375" style="1" bestFit="1" customWidth="1"/>
    <col min="6666" max="6668" width="11.42578125" style="1"/>
    <col min="6669" max="6669" width="12" style="1" bestFit="1" customWidth="1"/>
    <col min="6670" max="6670" width="15.5703125" style="1" customWidth="1"/>
    <col min="6671" max="6914" width="11.42578125" style="1"/>
    <col min="6915" max="6915" width="82.85546875" style="1" customWidth="1"/>
    <col min="6916" max="6916" width="10.42578125" style="1" customWidth="1"/>
    <col min="6917" max="6917" width="14.28515625" style="1" customWidth="1"/>
    <col min="6918" max="6919" width="13.28515625" style="1" bestFit="1" customWidth="1"/>
    <col min="6920" max="6920" width="12.140625" style="1" bestFit="1" customWidth="1"/>
    <col min="6921" max="6921" width="10.7109375" style="1" bestFit="1" customWidth="1"/>
    <col min="6922" max="6924" width="11.42578125" style="1"/>
    <col min="6925" max="6925" width="12" style="1" bestFit="1" customWidth="1"/>
    <col min="6926" max="6926" width="15.5703125" style="1" customWidth="1"/>
    <col min="6927" max="7170" width="11.42578125" style="1"/>
    <col min="7171" max="7171" width="82.85546875" style="1" customWidth="1"/>
    <col min="7172" max="7172" width="10.42578125" style="1" customWidth="1"/>
    <col min="7173" max="7173" width="14.28515625" style="1" customWidth="1"/>
    <col min="7174" max="7175" width="13.28515625" style="1" bestFit="1" customWidth="1"/>
    <col min="7176" max="7176" width="12.140625" style="1" bestFit="1" customWidth="1"/>
    <col min="7177" max="7177" width="10.7109375" style="1" bestFit="1" customWidth="1"/>
    <col min="7178" max="7180" width="11.42578125" style="1"/>
    <col min="7181" max="7181" width="12" style="1" bestFit="1" customWidth="1"/>
    <col min="7182" max="7182" width="15.5703125" style="1" customWidth="1"/>
    <col min="7183" max="7426" width="11.42578125" style="1"/>
    <col min="7427" max="7427" width="82.85546875" style="1" customWidth="1"/>
    <col min="7428" max="7428" width="10.42578125" style="1" customWidth="1"/>
    <col min="7429" max="7429" width="14.28515625" style="1" customWidth="1"/>
    <col min="7430" max="7431" width="13.28515625" style="1" bestFit="1" customWidth="1"/>
    <col min="7432" max="7432" width="12.140625" style="1" bestFit="1" customWidth="1"/>
    <col min="7433" max="7433" width="10.7109375" style="1" bestFit="1" customWidth="1"/>
    <col min="7434" max="7436" width="11.42578125" style="1"/>
    <col min="7437" max="7437" width="12" style="1" bestFit="1" customWidth="1"/>
    <col min="7438" max="7438" width="15.5703125" style="1" customWidth="1"/>
    <col min="7439" max="7682" width="11.42578125" style="1"/>
    <col min="7683" max="7683" width="82.85546875" style="1" customWidth="1"/>
    <col min="7684" max="7684" width="10.42578125" style="1" customWidth="1"/>
    <col min="7685" max="7685" width="14.28515625" style="1" customWidth="1"/>
    <col min="7686" max="7687" width="13.28515625" style="1" bestFit="1" customWidth="1"/>
    <col min="7688" max="7688" width="12.140625" style="1" bestFit="1" customWidth="1"/>
    <col min="7689" max="7689" width="10.7109375" style="1" bestFit="1" customWidth="1"/>
    <col min="7690" max="7692" width="11.42578125" style="1"/>
    <col min="7693" max="7693" width="12" style="1" bestFit="1" customWidth="1"/>
    <col min="7694" max="7694" width="15.5703125" style="1" customWidth="1"/>
    <col min="7695" max="7938" width="11.42578125" style="1"/>
    <col min="7939" max="7939" width="82.85546875" style="1" customWidth="1"/>
    <col min="7940" max="7940" width="10.42578125" style="1" customWidth="1"/>
    <col min="7941" max="7941" width="14.28515625" style="1" customWidth="1"/>
    <col min="7942" max="7943" width="13.28515625" style="1" bestFit="1" customWidth="1"/>
    <col min="7944" max="7944" width="12.140625" style="1" bestFit="1" customWidth="1"/>
    <col min="7945" max="7945" width="10.7109375" style="1" bestFit="1" customWidth="1"/>
    <col min="7946" max="7948" width="11.42578125" style="1"/>
    <col min="7949" max="7949" width="12" style="1" bestFit="1" customWidth="1"/>
    <col min="7950" max="7950" width="15.5703125" style="1" customWidth="1"/>
    <col min="7951" max="8194" width="11.42578125" style="1"/>
    <col min="8195" max="8195" width="82.85546875" style="1" customWidth="1"/>
    <col min="8196" max="8196" width="10.42578125" style="1" customWidth="1"/>
    <col min="8197" max="8197" width="14.28515625" style="1" customWidth="1"/>
    <col min="8198" max="8199" width="13.28515625" style="1" bestFit="1" customWidth="1"/>
    <col min="8200" max="8200" width="12.140625" style="1" bestFit="1" customWidth="1"/>
    <col min="8201" max="8201" width="10.7109375" style="1" bestFit="1" customWidth="1"/>
    <col min="8202" max="8204" width="11.42578125" style="1"/>
    <col min="8205" max="8205" width="12" style="1" bestFit="1" customWidth="1"/>
    <col min="8206" max="8206" width="15.5703125" style="1" customWidth="1"/>
    <col min="8207" max="8450" width="11.42578125" style="1"/>
    <col min="8451" max="8451" width="82.85546875" style="1" customWidth="1"/>
    <col min="8452" max="8452" width="10.42578125" style="1" customWidth="1"/>
    <col min="8453" max="8453" width="14.28515625" style="1" customWidth="1"/>
    <col min="8454" max="8455" width="13.28515625" style="1" bestFit="1" customWidth="1"/>
    <col min="8456" max="8456" width="12.140625" style="1" bestFit="1" customWidth="1"/>
    <col min="8457" max="8457" width="10.7109375" style="1" bestFit="1" customWidth="1"/>
    <col min="8458" max="8460" width="11.42578125" style="1"/>
    <col min="8461" max="8461" width="12" style="1" bestFit="1" customWidth="1"/>
    <col min="8462" max="8462" width="15.5703125" style="1" customWidth="1"/>
    <col min="8463" max="8706" width="11.42578125" style="1"/>
    <col min="8707" max="8707" width="82.85546875" style="1" customWidth="1"/>
    <col min="8708" max="8708" width="10.42578125" style="1" customWidth="1"/>
    <col min="8709" max="8709" width="14.28515625" style="1" customWidth="1"/>
    <col min="8710" max="8711" width="13.28515625" style="1" bestFit="1" customWidth="1"/>
    <col min="8712" max="8712" width="12.140625" style="1" bestFit="1" customWidth="1"/>
    <col min="8713" max="8713" width="10.7109375" style="1" bestFit="1" customWidth="1"/>
    <col min="8714" max="8716" width="11.42578125" style="1"/>
    <col min="8717" max="8717" width="12" style="1" bestFit="1" customWidth="1"/>
    <col min="8718" max="8718" width="15.5703125" style="1" customWidth="1"/>
    <col min="8719" max="8962" width="11.42578125" style="1"/>
    <col min="8963" max="8963" width="82.85546875" style="1" customWidth="1"/>
    <col min="8964" max="8964" width="10.42578125" style="1" customWidth="1"/>
    <col min="8965" max="8965" width="14.28515625" style="1" customWidth="1"/>
    <col min="8966" max="8967" width="13.28515625" style="1" bestFit="1" customWidth="1"/>
    <col min="8968" max="8968" width="12.140625" style="1" bestFit="1" customWidth="1"/>
    <col min="8969" max="8969" width="10.7109375" style="1" bestFit="1" customWidth="1"/>
    <col min="8970" max="8972" width="11.42578125" style="1"/>
    <col min="8973" max="8973" width="12" style="1" bestFit="1" customWidth="1"/>
    <col min="8974" max="8974" width="15.5703125" style="1" customWidth="1"/>
    <col min="8975" max="9218" width="11.42578125" style="1"/>
    <col min="9219" max="9219" width="82.85546875" style="1" customWidth="1"/>
    <col min="9220" max="9220" width="10.42578125" style="1" customWidth="1"/>
    <col min="9221" max="9221" width="14.28515625" style="1" customWidth="1"/>
    <col min="9222" max="9223" width="13.28515625" style="1" bestFit="1" customWidth="1"/>
    <col min="9224" max="9224" width="12.140625" style="1" bestFit="1" customWidth="1"/>
    <col min="9225" max="9225" width="10.7109375" style="1" bestFit="1" customWidth="1"/>
    <col min="9226" max="9228" width="11.42578125" style="1"/>
    <col min="9229" max="9229" width="12" style="1" bestFit="1" customWidth="1"/>
    <col min="9230" max="9230" width="15.5703125" style="1" customWidth="1"/>
    <col min="9231" max="9474" width="11.42578125" style="1"/>
    <col min="9475" max="9475" width="82.85546875" style="1" customWidth="1"/>
    <col min="9476" max="9476" width="10.42578125" style="1" customWidth="1"/>
    <col min="9477" max="9477" width="14.28515625" style="1" customWidth="1"/>
    <col min="9478" max="9479" width="13.28515625" style="1" bestFit="1" customWidth="1"/>
    <col min="9480" max="9480" width="12.140625" style="1" bestFit="1" customWidth="1"/>
    <col min="9481" max="9481" width="10.7109375" style="1" bestFit="1" customWidth="1"/>
    <col min="9482" max="9484" width="11.42578125" style="1"/>
    <col min="9485" max="9485" width="12" style="1" bestFit="1" customWidth="1"/>
    <col min="9486" max="9486" width="15.5703125" style="1" customWidth="1"/>
    <col min="9487" max="9730" width="11.42578125" style="1"/>
    <col min="9731" max="9731" width="82.85546875" style="1" customWidth="1"/>
    <col min="9732" max="9732" width="10.42578125" style="1" customWidth="1"/>
    <col min="9733" max="9733" width="14.28515625" style="1" customWidth="1"/>
    <col min="9734" max="9735" width="13.28515625" style="1" bestFit="1" customWidth="1"/>
    <col min="9736" max="9736" width="12.140625" style="1" bestFit="1" customWidth="1"/>
    <col min="9737" max="9737" width="10.7109375" style="1" bestFit="1" customWidth="1"/>
    <col min="9738" max="9740" width="11.42578125" style="1"/>
    <col min="9741" max="9741" width="12" style="1" bestFit="1" customWidth="1"/>
    <col min="9742" max="9742" width="15.5703125" style="1" customWidth="1"/>
    <col min="9743" max="9986" width="11.42578125" style="1"/>
    <col min="9987" max="9987" width="82.85546875" style="1" customWidth="1"/>
    <col min="9988" max="9988" width="10.42578125" style="1" customWidth="1"/>
    <col min="9989" max="9989" width="14.28515625" style="1" customWidth="1"/>
    <col min="9990" max="9991" width="13.28515625" style="1" bestFit="1" customWidth="1"/>
    <col min="9992" max="9992" width="12.140625" style="1" bestFit="1" customWidth="1"/>
    <col min="9993" max="9993" width="10.7109375" style="1" bestFit="1" customWidth="1"/>
    <col min="9994" max="9996" width="11.42578125" style="1"/>
    <col min="9997" max="9997" width="12" style="1" bestFit="1" customWidth="1"/>
    <col min="9998" max="9998" width="15.5703125" style="1" customWidth="1"/>
    <col min="9999" max="10242" width="11.42578125" style="1"/>
    <col min="10243" max="10243" width="82.85546875" style="1" customWidth="1"/>
    <col min="10244" max="10244" width="10.42578125" style="1" customWidth="1"/>
    <col min="10245" max="10245" width="14.28515625" style="1" customWidth="1"/>
    <col min="10246" max="10247" width="13.28515625" style="1" bestFit="1" customWidth="1"/>
    <col min="10248" max="10248" width="12.140625" style="1" bestFit="1" customWidth="1"/>
    <col min="10249" max="10249" width="10.7109375" style="1" bestFit="1" customWidth="1"/>
    <col min="10250" max="10252" width="11.42578125" style="1"/>
    <col min="10253" max="10253" width="12" style="1" bestFit="1" customWidth="1"/>
    <col min="10254" max="10254" width="15.5703125" style="1" customWidth="1"/>
    <col min="10255" max="10498" width="11.42578125" style="1"/>
    <col min="10499" max="10499" width="82.85546875" style="1" customWidth="1"/>
    <col min="10500" max="10500" width="10.42578125" style="1" customWidth="1"/>
    <col min="10501" max="10501" width="14.28515625" style="1" customWidth="1"/>
    <col min="10502" max="10503" width="13.28515625" style="1" bestFit="1" customWidth="1"/>
    <col min="10504" max="10504" width="12.140625" style="1" bestFit="1" customWidth="1"/>
    <col min="10505" max="10505" width="10.7109375" style="1" bestFit="1" customWidth="1"/>
    <col min="10506" max="10508" width="11.42578125" style="1"/>
    <col min="10509" max="10509" width="12" style="1" bestFit="1" customWidth="1"/>
    <col min="10510" max="10510" width="15.5703125" style="1" customWidth="1"/>
    <col min="10511" max="10754" width="11.42578125" style="1"/>
    <col min="10755" max="10755" width="82.85546875" style="1" customWidth="1"/>
    <col min="10756" max="10756" width="10.42578125" style="1" customWidth="1"/>
    <col min="10757" max="10757" width="14.28515625" style="1" customWidth="1"/>
    <col min="10758" max="10759" width="13.28515625" style="1" bestFit="1" customWidth="1"/>
    <col min="10760" max="10760" width="12.140625" style="1" bestFit="1" customWidth="1"/>
    <col min="10761" max="10761" width="10.7109375" style="1" bestFit="1" customWidth="1"/>
    <col min="10762" max="10764" width="11.42578125" style="1"/>
    <col min="10765" max="10765" width="12" style="1" bestFit="1" customWidth="1"/>
    <col min="10766" max="10766" width="15.5703125" style="1" customWidth="1"/>
    <col min="10767" max="11010" width="11.42578125" style="1"/>
    <col min="11011" max="11011" width="82.85546875" style="1" customWidth="1"/>
    <col min="11012" max="11012" width="10.42578125" style="1" customWidth="1"/>
    <col min="11013" max="11013" width="14.28515625" style="1" customWidth="1"/>
    <col min="11014" max="11015" width="13.28515625" style="1" bestFit="1" customWidth="1"/>
    <col min="11016" max="11016" width="12.140625" style="1" bestFit="1" customWidth="1"/>
    <col min="11017" max="11017" width="10.7109375" style="1" bestFit="1" customWidth="1"/>
    <col min="11018" max="11020" width="11.42578125" style="1"/>
    <col min="11021" max="11021" width="12" style="1" bestFit="1" customWidth="1"/>
    <col min="11022" max="11022" width="15.5703125" style="1" customWidth="1"/>
    <col min="11023" max="11266" width="11.42578125" style="1"/>
    <col min="11267" max="11267" width="82.85546875" style="1" customWidth="1"/>
    <col min="11268" max="11268" width="10.42578125" style="1" customWidth="1"/>
    <col min="11269" max="11269" width="14.28515625" style="1" customWidth="1"/>
    <col min="11270" max="11271" width="13.28515625" style="1" bestFit="1" customWidth="1"/>
    <col min="11272" max="11272" width="12.140625" style="1" bestFit="1" customWidth="1"/>
    <col min="11273" max="11273" width="10.7109375" style="1" bestFit="1" customWidth="1"/>
    <col min="11274" max="11276" width="11.42578125" style="1"/>
    <col min="11277" max="11277" width="12" style="1" bestFit="1" customWidth="1"/>
    <col min="11278" max="11278" width="15.5703125" style="1" customWidth="1"/>
    <col min="11279" max="11522" width="11.42578125" style="1"/>
    <col min="11523" max="11523" width="82.85546875" style="1" customWidth="1"/>
    <col min="11524" max="11524" width="10.42578125" style="1" customWidth="1"/>
    <col min="11525" max="11525" width="14.28515625" style="1" customWidth="1"/>
    <col min="11526" max="11527" width="13.28515625" style="1" bestFit="1" customWidth="1"/>
    <col min="11528" max="11528" width="12.140625" style="1" bestFit="1" customWidth="1"/>
    <col min="11529" max="11529" width="10.7109375" style="1" bestFit="1" customWidth="1"/>
    <col min="11530" max="11532" width="11.42578125" style="1"/>
    <col min="11533" max="11533" width="12" style="1" bestFit="1" customWidth="1"/>
    <col min="11534" max="11534" width="15.5703125" style="1" customWidth="1"/>
    <col min="11535" max="11778" width="11.42578125" style="1"/>
    <col min="11779" max="11779" width="82.85546875" style="1" customWidth="1"/>
    <col min="11780" max="11780" width="10.42578125" style="1" customWidth="1"/>
    <col min="11781" max="11781" width="14.28515625" style="1" customWidth="1"/>
    <col min="11782" max="11783" width="13.28515625" style="1" bestFit="1" customWidth="1"/>
    <col min="11784" max="11784" width="12.140625" style="1" bestFit="1" customWidth="1"/>
    <col min="11785" max="11785" width="10.7109375" style="1" bestFit="1" customWidth="1"/>
    <col min="11786" max="11788" width="11.42578125" style="1"/>
    <col min="11789" max="11789" width="12" style="1" bestFit="1" customWidth="1"/>
    <col min="11790" max="11790" width="15.5703125" style="1" customWidth="1"/>
    <col min="11791" max="12034" width="11.42578125" style="1"/>
    <col min="12035" max="12035" width="82.85546875" style="1" customWidth="1"/>
    <col min="12036" max="12036" width="10.42578125" style="1" customWidth="1"/>
    <col min="12037" max="12037" width="14.28515625" style="1" customWidth="1"/>
    <col min="12038" max="12039" width="13.28515625" style="1" bestFit="1" customWidth="1"/>
    <col min="12040" max="12040" width="12.140625" style="1" bestFit="1" customWidth="1"/>
    <col min="12041" max="12041" width="10.7109375" style="1" bestFit="1" customWidth="1"/>
    <col min="12042" max="12044" width="11.42578125" style="1"/>
    <col min="12045" max="12045" width="12" style="1" bestFit="1" customWidth="1"/>
    <col min="12046" max="12046" width="15.5703125" style="1" customWidth="1"/>
    <col min="12047" max="12290" width="11.42578125" style="1"/>
    <col min="12291" max="12291" width="82.85546875" style="1" customWidth="1"/>
    <col min="12292" max="12292" width="10.42578125" style="1" customWidth="1"/>
    <col min="12293" max="12293" width="14.28515625" style="1" customWidth="1"/>
    <col min="12294" max="12295" width="13.28515625" style="1" bestFit="1" customWidth="1"/>
    <col min="12296" max="12296" width="12.140625" style="1" bestFit="1" customWidth="1"/>
    <col min="12297" max="12297" width="10.7109375" style="1" bestFit="1" customWidth="1"/>
    <col min="12298" max="12300" width="11.42578125" style="1"/>
    <col min="12301" max="12301" width="12" style="1" bestFit="1" customWidth="1"/>
    <col min="12302" max="12302" width="15.5703125" style="1" customWidth="1"/>
    <col min="12303" max="12546" width="11.42578125" style="1"/>
    <col min="12547" max="12547" width="82.85546875" style="1" customWidth="1"/>
    <col min="12548" max="12548" width="10.42578125" style="1" customWidth="1"/>
    <col min="12549" max="12549" width="14.28515625" style="1" customWidth="1"/>
    <col min="12550" max="12551" width="13.28515625" style="1" bestFit="1" customWidth="1"/>
    <col min="12552" max="12552" width="12.140625" style="1" bestFit="1" customWidth="1"/>
    <col min="12553" max="12553" width="10.7109375" style="1" bestFit="1" customWidth="1"/>
    <col min="12554" max="12556" width="11.42578125" style="1"/>
    <col min="12557" max="12557" width="12" style="1" bestFit="1" customWidth="1"/>
    <col min="12558" max="12558" width="15.5703125" style="1" customWidth="1"/>
    <col min="12559" max="12802" width="11.42578125" style="1"/>
    <col min="12803" max="12803" width="82.85546875" style="1" customWidth="1"/>
    <col min="12804" max="12804" width="10.42578125" style="1" customWidth="1"/>
    <col min="12805" max="12805" width="14.28515625" style="1" customWidth="1"/>
    <col min="12806" max="12807" width="13.28515625" style="1" bestFit="1" customWidth="1"/>
    <col min="12808" max="12808" width="12.140625" style="1" bestFit="1" customWidth="1"/>
    <col min="12809" max="12809" width="10.7109375" style="1" bestFit="1" customWidth="1"/>
    <col min="12810" max="12812" width="11.42578125" style="1"/>
    <col min="12813" max="12813" width="12" style="1" bestFit="1" customWidth="1"/>
    <col min="12814" max="12814" width="15.5703125" style="1" customWidth="1"/>
    <col min="12815" max="13058" width="11.42578125" style="1"/>
    <col min="13059" max="13059" width="82.85546875" style="1" customWidth="1"/>
    <col min="13060" max="13060" width="10.42578125" style="1" customWidth="1"/>
    <col min="13061" max="13061" width="14.28515625" style="1" customWidth="1"/>
    <col min="13062" max="13063" width="13.28515625" style="1" bestFit="1" customWidth="1"/>
    <col min="13064" max="13064" width="12.140625" style="1" bestFit="1" customWidth="1"/>
    <col min="13065" max="13065" width="10.7109375" style="1" bestFit="1" customWidth="1"/>
    <col min="13066" max="13068" width="11.42578125" style="1"/>
    <col min="13069" max="13069" width="12" style="1" bestFit="1" customWidth="1"/>
    <col min="13070" max="13070" width="15.5703125" style="1" customWidth="1"/>
    <col min="13071" max="13314" width="11.42578125" style="1"/>
    <col min="13315" max="13315" width="82.85546875" style="1" customWidth="1"/>
    <col min="13316" max="13316" width="10.42578125" style="1" customWidth="1"/>
    <col min="13317" max="13317" width="14.28515625" style="1" customWidth="1"/>
    <col min="13318" max="13319" width="13.28515625" style="1" bestFit="1" customWidth="1"/>
    <col min="13320" max="13320" width="12.140625" style="1" bestFit="1" customWidth="1"/>
    <col min="13321" max="13321" width="10.7109375" style="1" bestFit="1" customWidth="1"/>
    <col min="13322" max="13324" width="11.42578125" style="1"/>
    <col min="13325" max="13325" width="12" style="1" bestFit="1" customWidth="1"/>
    <col min="13326" max="13326" width="15.5703125" style="1" customWidth="1"/>
    <col min="13327" max="13570" width="11.42578125" style="1"/>
    <col min="13571" max="13571" width="82.85546875" style="1" customWidth="1"/>
    <col min="13572" max="13572" width="10.42578125" style="1" customWidth="1"/>
    <col min="13573" max="13573" width="14.28515625" style="1" customWidth="1"/>
    <col min="13574" max="13575" width="13.28515625" style="1" bestFit="1" customWidth="1"/>
    <col min="13576" max="13576" width="12.140625" style="1" bestFit="1" customWidth="1"/>
    <col min="13577" max="13577" width="10.7109375" style="1" bestFit="1" customWidth="1"/>
    <col min="13578" max="13580" width="11.42578125" style="1"/>
    <col min="13581" max="13581" width="12" style="1" bestFit="1" customWidth="1"/>
    <col min="13582" max="13582" width="15.5703125" style="1" customWidth="1"/>
    <col min="13583" max="13826" width="11.42578125" style="1"/>
    <col min="13827" max="13827" width="82.85546875" style="1" customWidth="1"/>
    <col min="13828" max="13828" width="10.42578125" style="1" customWidth="1"/>
    <col min="13829" max="13829" width="14.28515625" style="1" customWidth="1"/>
    <col min="13830" max="13831" width="13.28515625" style="1" bestFit="1" customWidth="1"/>
    <col min="13832" max="13832" width="12.140625" style="1" bestFit="1" customWidth="1"/>
    <col min="13833" max="13833" width="10.7109375" style="1" bestFit="1" customWidth="1"/>
    <col min="13834" max="13836" width="11.42578125" style="1"/>
    <col min="13837" max="13837" width="12" style="1" bestFit="1" customWidth="1"/>
    <col min="13838" max="13838" width="15.5703125" style="1" customWidth="1"/>
    <col min="13839" max="14082" width="11.42578125" style="1"/>
    <col min="14083" max="14083" width="82.85546875" style="1" customWidth="1"/>
    <col min="14084" max="14084" width="10.42578125" style="1" customWidth="1"/>
    <col min="14085" max="14085" width="14.28515625" style="1" customWidth="1"/>
    <col min="14086" max="14087" width="13.28515625" style="1" bestFit="1" customWidth="1"/>
    <col min="14088" max="14088" width="12.140625" style="1" bestFit="1" customWidth="1"/>
    <col min="14089" max="14089" width="10.7109375" style="1" bestFit="1" customWidth="1"/>
    <col min="14090" max="14092" width="11.42578125" style="1"/>
    <col min="14093" max="14093" width="12" style="1" bestFit="1" customWidth="1"/>
    <col min="14094" max="14094" width="15.5703125" style="1" customWidth="1"/>
    <col min="14095" max="14338" width="11.42578125" style="1"/>
    <col min="14339" max="14339" width="82.85546875" style="1" customWidth="1"/>
    <col min="14340" max="14340" width="10.42578125" style="1" customWidth="1"/>
    <col min="14341" max="14341" width="14.28515625" style="1" customWidth="1"/>
    <col min="14342" max="14343" width="13.28515625" style="1" bestFit="1" customWidth="1"/>
    <col min="14344" max="14344" width="12.140625" style="1" bestFit="1" customWidth="1"/>
    <col min="14345" max="14345" width="10.7109375" style="1" bestFit="1" customWidth="1"/>
    <col min="14346" max="14348" width="11.42578125" style="1"/>
    <col min="14349" max="14349" width="12" style="1" bestFit="1" customWidth="1"/>
    <col min="14350" max="14350" width="15.5703125" style="1" customWidth="1"/>
    <col min="14351" max="14594" width="11.42578125" style="1"/>
    <col min="14595" max="14595" width="82.85546875" style="1" customWidth="1"/>
    <col min="14596" max="14596" width="10.42578125" style="1" customWidth="1"/>
    <col min="14597" max="14597" width="14.28515625" style="1" customWidth="1"/>
    <col min="14598" max="14599" width="13.28515625" style="1" bestFit="1" customWidth="1"/>
    <col min="14600" max="14600" width="12.140625" style="1" bestFit="1" customWidth="1"/>
    <col min="14601" max="14601" width="10.7109375" style="1" bestFit="1" customWidth="1"/>
    <col min="14602" max="14604" width="11.42578125" style="1"/>
    <col min="14605" max="14605" width="12" style="1" bestFit="1" customWidth="1"/>
    <col min="14606" max="14606" width="15.5703125" style="1" customWidth="1"/>
    <col min="14607" max="14850" width="11.42578125" style="1"/>
    <col min="14851" max="14851" width="82.85546875" style="1" customWidth="1"/>
    <col min="14852" max="14852" width="10.42578125" style="1" customWidth="1"/>
    <col min="14853" max="14853" width="14.28515625" style="1" customWidth="1"/>
    <col min="14854" max="14855" width="13.28515625" style="1" bestFit="1" customWidth="1"/>
    <col min="14856" max="14856" width="12.140625" style="1" bestFit="1" customWidth="1"/>
    <col min="14857" max="14857" width="10.7109375" style="1" bestFit="1" customWidth="1"/>
    <col min="14858" max="14860" width="11.42578125" style="1"/>
    <col min="14861" max="14861" width="12" style="1" bestFit="1" customWidth="1"/>
    <col min="14862" max="14862" width="15.5703125" style="1" customWidth="1"/>
    <col min="14863" max="15106" width="11.42578125" style="1"/>
    <col min="15107" max="15107" width="82.85546875" style="1" customWidth="1"/>
    <col min="15108" max="15108" width="10.42578125" style="1" customWidth="1"/>
    <col min="15109" max="15109" width="14.28515625" style="1" customWidth="1"/>
    <col min="15110" max="15111" width="13.28515625" style="1" bestFit="1" customWidth="1"/>
    <col min="15112" max="15112" width="12.140625" style="1" bestFit="1" customWidth="1"/>
    <col min="15113" max="15113" width="10.7109375" style="1" bestFit="1" customWidth="1"/>
    <col min="15114" max="15116" width="11.42578125" style="1"/>
    <col min="15117" max="15117" width="12" style="1" bestFit="1" customWidth="1"/>
    <col min="15118" max="15118" width="15.5703125" style="1" customWidth="1"/>
    <col min="15119" max="15362" width="11.42578125" style="1"/>
    <col min="15363" max="15363" width="82.85546875" style="1" customWidth="1"/>
    <col min="15364" max="15364" width="10.42578125" style="1" customWidth="1"/>
    <col min="15365" max="15365" width="14.28515625" style="1" customWidth="1"/>
    <col min="15366" max="15367" width="13.28515625" style="1" bestFit="1" customWidth="1"/>
    <col min="15368" max="15368" width="12.140625" style="1" bestFit="1" customWidth="1"/>
    <col min="15369" max="15369" width="10.7109375" style="1" bestFit="1" customWidth="1"/>
    <col min="15370" max="15372" width="11.42578125" style="1"/>
    <col min="15373" max="15373" width="12" style="1" bestFit="1" customWidth="1"/>
    <col min="15374" max="15374" width="15.5703125" style="1" customWidth="1"/>
    <col min="15375" max="15618" width="11.42578125" style="1"/>
    <col min="15619" max="15619" width="82.85546875" style="1" customWidth="1"/>
    <col min="15620" max="15620" width="10.42578125" style="1" customWidth="1"/>
    <col min="15621" max="15621" width="14.28515625" style="1" customWidth="1"/>
    <col min="15622" max="15623" width="13.28515625" style="1" bestFit="1" customWidth="1"/>
    <col min="15624" max="15624" width="12.140625" style="1" bestFit="1" customWidth="1"/>
    <col min="15625" max="15625" width="10.7109375" style="1" bestFit="1" customWidth="1"/>
    <col min="15626" max="15628" width="11.42578125" style="1"/>
    <col min="15629" max="15629" width="12" style="1" bestFit="1" customWidth="1"/>
    <col min="15630" max="15630" width="15.5703125" style="1" customWidth="1"/>
    <col min="15631" max="15874" width="11.42578125" style="1"/>
    <col min="15875" max="15875" width="82.85546875" style="1" customWidth="1"/>
    <col min="15876" max="15876" width="10.42578125" style="1" customWidth="1"/>
    <col min="15877" max="15877" width="14.28515625" style="1" customWidth="1"/>
    <col min="15878" max="15879" width="13.28515625" style="1" bestFit="1" customWidth="1"/>
    <col min="15880" max="15880" width="12.140625" style="1" bestFit="1" customWidth="1"/>
    <col min="15881" max="15881" width="10.7109375" style="1" bestFit="1" customWidth="1"/>
    <col min="15882" max="15884" width="11.42578125" style="1"/>
    <col min="15885" max="15885" width="12" style="1" bestFit="1" customWidth="1"/>
    <col min="15886" max="15886" width="15.5703125" style="1" customWidth="1"/>
    <col min="15887" max="16130" width="11.42578125" style="1"/>
    <col min="16131" max="16131" width="82.85546875" style="1" customWidth="1"/>
    <col min="16132" max="16132" width="10.42578125" style="1" customWidth="1"/>
    <col min="16133" max="16133" width="14.28515625" style="1" customWidth="1"/>
    <col min="16134" max="16135" width="13.28515625" style="1" bestFit="1" customWidth="1"/>
    <col min="16136" max="16136" width="12.140625" style="1" bestFit="1" customWidth="1"/>
    <col min="16137" max="16137" width="10.7109375" style="1" bestFit="1" customWidth="1"/>
    <col min="16138" max="16140" width="11.42578125" style="1"/>
    <col min="16141" max="16141" width="12" style="1" bestFit="1" customWidth="1"/>
    <col min="16142" max="16142" width="15.5703125" style="1" customWidth="1"/>
    <col min="16143" max="16384" width="11.42578125" style="1"/>
  </cols>
  <sheetData>
    <row r="1" spans="1:14" ht="15.75" hidden="1" x14ac:dyDescent="0.25">
      <c r="A1" s="523" t="s">
        <v>42</v>
      </c>
      <c r="B1" s="524"/>
      <c r="C1" s="524"/>
      <c r="D1" s="15"/>
      <c r="J1" s="6" t="s">
        <v>12</v>
      </c>
    </row>
    <row r="2" spans="1:14" ht="15.75" hidden="1" x14ac:dyDescent="0.25">
      <c r="A2" s="525" t="s">
        <v>53</v>
      </c>
      <c r="B2" s="525"/>
      <c r="C2" s="525"/>
      <c r="D2" s="15"/>
      <c r="J2" s="6" t="s">
        <v>11</v>
      </c>
    </row>
    <row r="3" spans="1:14" ht="6" hidden="1" customHeight="1" x14ac:dyDescent="0.2">
      <c r="A3" s="15"/>
      <c r="B3" s="15"/>
      <c r="C3" s="15"/>
      <c r="D3" s="15"/>
      <c r="J3" s="1">
        <v>0</v>
      </c>
    </row>
    <row r="4" spans="1:14" hidden="1" x14ac:dyDescent="0.2">
      <c r="A4" s="522" t="s">
        <v>43</v>
      </c>
      <c r="B4" s="522"/>
      <c r="C4" s="46" t="s">
        <v>44</v>
      </c>
      <c r="D4" s="15"/>
      <c r="J4" s="1">
        <v>1</v>
      </c>
    </row>
    <row r="5" spans="1:14" hidden="1" x14ac:dyDescent="0.2">
      <c r="A5" s="47" t="s">
        <v>45</v>
      </c>
      <c r="B5" s="7"/>
      <c r="C5" s="17">
        <v>5550</v>
      </c>
      <c r="D5" s="15"/>
      <c r="J5" s="1">
        <v>2</v>
      </c>
    </row>
    <row r="6" spans="1:14" hidden="1" x14ac:dyDescent="0.2">
      <c r="A6" s="48" t="s">
        <v>30</v>
      </c>
      <c r="B6" s="80">
        <f>+DatosIRPF!B6</f>
        <v>60</v>
      </c>
      <c r="C6" s="49">
        <f>IF(AND(B6&gt;65,B6&lt;75),918,IF(B6&gt;75,918+2040,0))</f>
        <v>0</v>
      </c>
      <c r="D6" s="15"/>
      <c r="E6" s="6"/>
      <c r="F6" s="6"/>
      <c r="G6" s="6"/>
      <c r="H6" s="6"/>
      <c r="I6" s="6"/>
      <c r="J6" s="1">
        <v>3</v>
      </c>
      <c r="K6" s="6"/>
      <c r="L6" s="6"/>
      <c r="M6" s="6"/>
      <c r="N6" s="10"/>
    </row>
    <row r="7" spans="1:14" hidden="1" x14ac:dyDescent="0.2">
      <c r="A7" s="48" t="s">
        <v>41</v>
      </c>
      <c r="B7" s="12" t="str">
        <f>+DatosIRPF!B7</f>
        <v>NO</v>
      </c>
      <c r="C7" s="49">
        <f>IF(B7="si",3246,0)</f>
        <v>0</v>
      </c>
      <c r="D7" s="15"/>
      <c r="E7" s="6"/>
      <c r="F7" s="6"/>
      <c r="G7" s="6"/>
      <c r="H7" s="6"/>
      <c r="I7" s="6"/>
      <c r="J7" s="1">
        <v>4</v>
      </c>
      <c r="K7" s="6"/>
      <c r="L7" s="6"/>
      <c r="M7" s="6"/>
      <c r="N7" s="10"/>
    </row>
    <row r="8" spans="1:14" hidden="1" x14ac:dyDescent="0.2">
      <c r="A8" s="48" t="s">
        <v>31</v>
      </c>
      <c r="B8" s="12" t="str">
        <f>+DatosIRPF!B8</f>
        <v>NO</v>
      </c>
      <c r="C8" s="49">
        <f>IF(B8="si",7242,0)</f>
        <v>0</v>
      </c>
      <c r="D8" s="15"/>
      <c r="E8" s="6"/>
      <c r="F8" s="6"/>
      <c r="G8" s="6"/>
      <c r="H8" s="6"/>
      <c r="I8" s="6"/>
      <c r="J8" s="1">
        <v>5</v>
      </c>
      <c r="K8" s="6"/>
      <c r="L8" s="6"/>
      <c r="M8" s="6"/>
      <c r="N8" s="10"/>
    </row>
    <row r="9" spans="1:14" ht="5.25" hidden="1" customHeight="1" x14ac:dyDescent="0.2">
      <c r="A9" s="15"/>
      <c r="B9" s="15"/>
      <c r="C9" s="15"/>
      <c r="D9" s="15"/>
      <c r="E9" s="6"/>
      <c r="F9" s="6"/>
      <c r="G9" s="6"/>
      <c r="H9" s="6"/>
      <c r="I9" s="6"/>
      <c r="J9" s="1">
        <v>6</v>
      </c>
      <c r="K9" s="6"/>
      <c r="L9" s="6"/>
      <c r="M9" s="6"/>
      <c r="N9" s="10"/>
    </row>
    <row r="10" spans="1:14" hidden="1" x14ac:dyDescent="0.2">
      <c r="A10" s="522" t="s">
        <v>58</v>
      </c>
      <c r="B10" s="522"/>
      <c r="C10" s="15"/>
      <c r="D10" s="15"/>
      <c r="E10" s="6"/>
      <c r="F10" s="6"/>
      <c r="G10" s="6"/>
      <c r="H10" s="6"/>
      <c r="I10" s="6"/>
      <c r="J10" s="1">
        <v>7</v>
      </c>
      <c r="K10" s="6"/>
      <c r="L10" s="6"/>
      <c r="M10" s="6"/>
      <c r="N10" s="10"/>
    </row>
    <row r="11" spans="1:14" ht="13.5" hidden="1" thickBot="1" x14ac:dyDescent="0.25">
      <c r="A11" s="48" t="s">
        <v>32</v>
      </c>
      <c r="B11" s="50" t="str">
        <f>+DatosIRPF!B11</f>
        <v>NO</v>
      </c>
      <c r="C11" s="15"/>
      <c r="D11" s="15"/>
      <c r="E11" s="6"/>
      <c r="F11" s="6"/>
      <c r="G11" s="6"/>
      <c r="H11" s="6"/>
      <c r="I11" s="6"/>
      <c r="J11" s="1">
        <v>8</v>
      </c>
      <c r="K11" s="6"/>
      <c r="L11" s="6"/>
    </row>
    <row r="12" spans="1:14" hidden="1" x14ac:dyDescent="0.2">
      <c r="A12" s="48" t="s">
        <v>33</v>
      </c>
      <c r="B12" s="50">
        <f>+DatosIRPF!B12</f>
        <v>0</v>
      </c>
      <c r="C12" s="49">
        <f>IF(B11="NO",IF(B12=1,2400,IF(B12=2,2400+2700,IF(B12=3,2400+2700+4000,IF(B12&gt;3,2400+2700+4000+((B12-3)*4500),0))))/2,IF(B12=1,2400,IF(B12=2,2400+2700,IF(B12=3,2400+2700+4000,IF(B12&gt;3,2400+2700+4000+((B12-3)*4500),0)))))</f>
        <v>0</v>
      </c>
      <c r="D12" s="15"/>
      <c r="E12" s="51"/>
      <c r="F12" s="514"/>
      <c r="G12" s="515"/>
      <c r="H12" s="516"/>
      <c r="I12" s="6"/>
      <c r="K12" s="6"/>
      <c r="L12" s="6"/>
    </row>
    <row r="13" spans="1:14" ht="13.5" hidden="1" thickBot="1" x14ac:dyDescent="0.25">
      <c r="A13" s="48" t="s">
        <v>34</v>
      </c>
      <c r="B13" s="50">
        <f>+DatosIRPF!B13</f>
        <v>0</v>
      </c>
      <c r="C13" s="49">
        <f>IF(B11="NO",+B13*2800/2,+B13*2800)</f>
        <v>0</v>
      </c>
      <c r="D13" s="15"/>
      <c r="E13" s="51"/>
      <c r="F13" s="52"/>
      <c r="G13" s="53"/>
      <c r="H13" s="54"/>
      <c r="I13" s="6"/>
      <c r="K13" s="6"/>
      <c r="L13" s="6"/>
    </row>
    <row r="14" spans="1:14" hidden="1" x14ac:dyDescent="0.2">
      <c r="A14" s="55" t="s">
        <v>35</v>
      </c>
      <c r="B14" s="50">
        <f>+DatosIRPF!B14</f>
        <v>0</v>
      </c>
      <c r="C14" s="49">
        <f>IF(B11="NO",(B14*2316*1.29)/2,(B14*2316*1.29))</f>
        <v>0</v>
      </c>
      <c r="D14" s="15"/>
      <c r="E14" s="51"/>
      <c r="F14" s="56"/>
      <c r="G14" s="57"/>
      <c r="H14" s="58"/>
      <c r="I14" s="6"/>
      <c r="K14" s="6"/>
      <c r="L14" s="6"/>
    </row>
    <row r="15" spans="1:14" hidden="1" x14ac:dyDescent="0.2">
      <c r="A15" s="55" t="s">
        <v>36</v>
      </c>
      <c r="B15" s="50">
        <f>+DatosIRPF!B15</f>
        <v>0</v>
      </c>
      <c r="C15" s="49">
        <f>IF(B11="NO",(B15*7038*1.29)/2,(B15*7038*1.29))</f>
        <v>0</v>
      </c>
      <c r="D15" s="15"/>
      <c r="E15" s="51"/>
      <c r="F15" s="59"/>
      <c r="G15" s="60"/>
      <c r="H15" s="61"/>
      <c r="I15" s="6"/>
      <c r="K15" s="6"/>
      <c r="L15" s="6"/>
    </row>
    <row r="16" spans="1:14" ht="4.5" hidden="1" customHeight="1" x14ac:dyDescent="0.2">
      <c r="A16" s="16"/>
      <c r="B16" s="16"/>
      <c r="C16" s="16"/>
      <c r="D16" s="15"/>
      <c r="E16" s="51"/>
      <c r="F16" s="59"/>
      <c r="G16" s="60"/>
      <c r="H16" s="61"/>
      <c r="I16" s="6"/>
      <c r="K16" s="6"/>
      <c r="L16" s="6"/>
    </row>
    <row r="17" spans="1:12" hidden="1" x14ac:dyDescent="0.2">
      <c r="A17" s="522" t="s">
        <v>59</v>
      </c>
      <c r="B17" s="522"/>
      <c r="C17" s="16"/>
      <c r="D17" s="15"/>
      <c r="E17" s="51"/>
      <c r="F17" s="59"/>
      <c r="G17" s="60"/>
      <c r="H17" s="61"/>
      <c r="I17" s="6"/>
      <c r="K17" s="6"/>
      <c r="L17" s="6"/>
    </row>
    <row r="18" spans="1:12" ht="13.5" hidden="1" thickBot="1" x14ac:dyDescent="0.25">
      <c r="A18" s="8" t="s">
        <v>61</v>
      </c>
      <c r="B18" s="12">
        <f>+DatosIRPF!B18</f>
        <v>1</v>
      </c>
      <c r="C18" s="16"/>
      <c r="D18" s="15"/>
      <c r="E18" s="51"/>
      <c r="F18" s="62"/>
      <c r="G18" s="63"/>
      <c r="H18" s="64"/>
      <c r="I18" s="6"/>
      <c r="K18" s="6"/>
      <c r="L18" s="6"/>
    </row>
    <row r="19" spans="1:12" hidden="1" x14ac:dyDescent="0.2">
      <c r="A19" s="48" t="s">
        <v>37</v>
      </c>
      <c r="B19" s="12">
        <f>+DatosIRPF!B19</f>
        <v>0</v>
      </c>
      <c r="C19" s="521">
        <f>((+B19*1150)+(B20*(1150+1400)))/B18</f>
        <v>0</v>
      </c>
      <c r="D19" s="15"/>
      <c r="E19" s="51"/>
      <c r="F19" s="51"/>
      <c r="G19" s="51"/>
      <c r="H19" s="51"/>
      <c r="I19" s="6"/>
      <c r="K19" s="6"/>
      <c r="L19" s="6"/>
    </row>
    <row r="20" spans="1:12" ht="13.5" hidden="1" thickBot="1" x14ac:dyDescent="0.25">
      <c r="A20" s="48" t="s">
        <v>38</v>
      </c>
      <c r="B20" s="12">
        <f>+DatosIRPF!B20</f>
        <v>0</v>
      </c>
      <c r="C20" s="521"/>
      <c r="D20" s="15"/>
      <c r="E20" s="51"/>
      <c r="F20" s="51"/>
      <c r="G20" s="51"/>
      <c r="H20" s="51"/>
      <c r="I20" s="6"/>
      <c r="K20" s="6"/>
      <c r="L20" s="6"/>
    </row>
    <row r="21" spans="1:12" ht="13.5" hidden="1" thickBot="1" x14ac:dyDescent="0.25">
      <c r="A21" s="55" t="s">
        <v>39</v>
      </c>
      <c r="B21" s="12">
        <f>+DatosIRPF!B21</f>
        <v>0</v>
      </c>
      <c r="C21" s="17">
        <f>(B21*3000)/B18</f>
        <v>0</v>
      </c>
      <c r="D21" s="15"/>
      <c r="E21" s="51"/>
      <c r="F21" s="517"/>
      <c r="G21" s="518"/>
      <c r="H21" s="51"/>
      <c r="I21" s="6"/>
      <c r="K21" s="6"/>
      <c r="L21" s="6"/>
    </row>
    <row r="22" spans="1:12" hidden="1" x14ac:dyDescent="0.2">
      <c r="A22" s="55" t="s">
        <v>40</v>
      </c>
      <c r="B22" s="12">
        <f>+DatosIRPF!B22</f>
        <v>0</v>
      </c>
      <c r="C22" s="17">
        <f>+(B22*9000)/B18</f>
        <v>0</v>
      </c>
      <c r="D22" s="15"/>
      <c r="E22" s="51"/>
      <c r="F22" s="65"/>
      <c r="G22" s="66"/>
      <c r="H22" s="51"/>
      <c r="I22" s="6"/>
      <c r="K22" s="6"/>
      <c r="L22" s="6"/>
    </row>
    <row r="23" spans="1:12" hidden="1" x14ac:dyDescent="0.2">
      <c r="A23" s="15"/>
      <c r="B23" s="15"/>
      <c r="C23" s="15"/>
      <c r="D23" s="15"/>
      <c r="E23" s="51"/>
      <c r="F23" s="67"/>
      <c r="G23" s="68"/>
      <c r="H23" s="51"/>
      <c r="I23" s="6"/>
      <c r="K23" s="6"/>
      <c r="L23" s="6"/>
    </row>
    <row r="24" spans="1:12" hidden="1" x14ac:dyDescent="0.2">
      <c r="A24" s="522" t="s">
        <v>47</v>
      </c>
      <c r="B24" s="522"/>
      <c r="C24" s="15"/>
      <c r="D24" s="15"/>
      <c r="E24" s="51"/>
      <c r="F24" s="67"/>
      <c r="G24" s="68"/>
      <c r="H24" s="51"/>
      <c r="I24" s="6"/>
      <c r="J24" s="1">
        <v>8</v>
      </c>
      <c r="K24" s="6"/>
      <c r="L24" s="6"/>
    </row>
    <row r="25" spans="1:12" hidden="1" x14ac:dyDescent="0.2">
      <c r="A25" s="69" t="s">
        <v>29</v>
      </c>
      <c r="B25" s="5">
        <f>+Retribuciones!T33</f>
        <v>45705.1</v>
      </c>
      <c r="C25" s="15"/>
      <c r="D25" s="15"/>
      <c r="E25" s="51"/>
      <c r="F25" s="67"/>
      <c r="G25" s="68"/>
      <c r="H25" s="51"/>
      <c r="I25" s="6"/>
      <c r="K25" s="6"/>
      <c r="L25" s="6"/>
    </row>
    <row r="26" spans="1:12" hidden="1" x14ac:dyDescent="0.2">
      <c r="A26" s="15"/>
      <c r="B26" s="15"/>
      <c r="C26" s="15"/>
      <c r="D26" s="15"/>
      <c r="E26" s="51"/>
      <c r="F26" s="67"/>
      <c r="G26" s="68"/>
      <c r="H26" s="70"/>
    </row>
    <row r="27" spans="1:12" ht="13.5" hidden="1" thickBot="1" x14ac:dyDescent="0.25">
      <c r="A27" s="522" t="s">
        <v>49</v>
      </c>
      <c r="B27" s="522"/>
      <c r="C27" s="15"/>
      <c r="D27" s="15"/>
      <c r="E27" s="51"/>
      <c r="F27" s="71"/>
      <c r="G27" s="72"/>
      <c r="H27" s="51"/>
    </row>
    <row r="28" spans="1:12" hidden="1" x14ac:dyDescent="0.2">
      <c r="A28" s="47" t="s">
        <v>46</v>
      </c>
      <c r="B28" s="18">
        <v>2000</v>
      </c>
      <c r="C28" s="15"/>
      <c r="D28" s="15"/>
      <c r="E28" s="51"/>
      <c r="F28" s="51"/>
      <c r="G28" s="51"/>
      <c r="H28" s="51"/>
    </row>
    <row r="29" spans="1:12" ht="13.5" hidden="1" thickBot="1" x14ac:dyDescent="0.25">
      <c r="A29" s="47" t="s">
        <v>96</v>
      </c>
      <c r="B29" s="18">
        <v>0</v>
      </c>
      <c r="C29" s="15"/>
      <c r="D29" s="15"/>
      <c r="E29" s="51"/>
      <c r="F29" s="51"/>
      <c r="G29" s="51"/>
      <c r="H29" s="51"/>
    </row>
    <row r="30" spans="1:12" ht="13.5" hidden="1" thickBot="1" x14ac:dyDescent="0.25">
      <c r="A30" s="48" t="s">
        <v>41</v>
      </c>
      <c r="B30" s="17"/>
      <c r="C30" s="15"/>
      <c r="D30" s="15"/>
      <c r="E30" s="51"/>
      <c r="F30" s="517"/>
      <c r="G30" s="518"/>
      <c r="H30" s="51"/>
    </row>
    <row r="31" spans="1:12" hidden="1" x14ac:dyDescent="0.2">
      <c r="A31" s="48" t="s">
        <v>31</v>
      </c>
      <c r="B31" s="17"/>
      <c r="C31" s="15"/>
      <c r="D31" s="15"/>
      <c r="E31" s="51"/>
      <c r="F31" s="65"/>
      <c r="G31" s="66"/>
      <c r="H31" s="51"/>
    </row>
    <row r="32" spans="1:12" hidden="1" x14ac:dyDescent="0.2">
      <c r="A32" s="55" t="s">
        <v>60</v>
      </c>
      <c r="B32" s="18">
        <f>IF(B12&gt;2,600,0)</f>
        <v>0</v>
      </c>
      <c r="C32" s="15"/>
      <c r="D32" s="15"/>
      <c r="E32" s="51"/>
      <c r="F32" s="67"/>
      <c r="G32" s="68"/>
      <c r="H32" s="51"/>
    </row>
    <row r="33" spans="1:8" hidden="1" x14ac:dyDescent="0.2">
      <c r="A33" s="47"/>
      <c r="B33" s="18"/>
      <c r="C33" s="15"/>
      <c r="D33" s="15"/>
      <c r="E33" s="51"/>
      <c r="F33" s="67"/>
      <c r="G33" s="68"/>
      <c r="H33" s="73"/>
    </row>
    <row r="34" spans="1:8" hidden="1" x14ac:dyDescent="0.2">
      <c r="A34" s="11" t="s">
        <v>48</v>
      </c>
      <c r="B34" s="18">
        <f>+B25-B29-B28-B30-B31-B32-B33</f>
        <v>43705.1</v>
      </c>
      <c r="C34" s="5">
        <f>SUM(C5:C33)</f>
        <v>5550</v>
      </c>
      <c r="D34" s="15"/>
      <c r="E34" s="51"/>
      <c r="F34" s="67"/>
      <c r="G34" s="68"/>
      <c r="H34" s="70"/>
    </row>
    <row r="35" spans="1:8" hidden="1" x14ac:dyDescent="0.2">
      <c r="A35" s="11" t="s">
        <v>50</v>
      </c>
      <c r="B35" s="18">
        <f>IF(B34&lt;12450.0000001,B34*19%,IF(AND(B34&gt;12450,B34&lt;20200.0000001),((B34-12450)*24%)+2362.5,IF(AND(B34&gt;20200.000001,B34&lt;35200.0000001),((B34-20200)*30%)+4225.5,IF(AND(B34&gt;35200.000001,B34&lt;60000.0000001),((B34-35200)*37%)+8725.5,IF(B34&gt;60000.000001,((B34-60000)*45%)+17901.5,0)))))</f>
        <v>11872.386999999999</v>
      </c>
      <c r="C35" s="5">
        <f>IF(C34&lt;12450.0000001,C34*19%,IF(AND(C34&gt;12450.000001,C34&lt;20200.0000001),((C34-12450)*24%)+2365.5,IF(AND(C34&gt;20200.000001,C34&lt;35200.0000001),((C34-20200)*30%)+4225.5,IF(AND(C34&gt;35200.000001,C34&lt;60000.0000001),((C34-35200)*37%)+8725.5,IF(C34&gt;60000.000001,((C34-60000)*45%)+17901.5,0)))))</f>
        <v>1054.5</v>
      </c>
      <c r="D35" s="15"/>
      <c r="E35" s="51"/>
      <c r="F35" s="67"/>
      <c r="G35" s="68"/>
      <c r="H35" s="70"/>
    </row>
    <row r="36" spans="1:8" ht="13.5" hidden="1" thickBot="1" x14ac:dyDescent="0.25">
      <c r="A36" s="11" t="s">
        <v>51</v>
      </c>
      <c r="B36" s="18">
        <f>+B35-C35</f>
        <v>10817.886999999999</v>
      </c>
      <c r="C36" s="15"/>
      <c r="D36" s="15"/>
      <c r="E36" s="51"/>
      <c r="F36" s="71"/>
      <c r="G36" s="72"/>
      <c r="H36" s="70"/>
    </row>
    <row r="37" spans="1:8" hidden="1" x14ac:dyDescent="0.2">
      <c r="A37" s="11" t="s">
        <v>52</v>
      </c>
      <c r="B37" s="74">
        <f>+B36/B25</f>
        <v>0.23668883778834307</v>
      </c>
      <c r="C37" s="15"/>
      <c r="D37" s="15"/>
      <c r="E37" s="51"/>
      <c r="F37" s="51"/>
      <c r="G37" s="51"/>
      <c r="H37" s="70"/>
    </row>
    <row r="38" spans="1:8" ht="13.5" hidden="1" thickBot="1" x14ac:dyDescent="0.25">
      <c r="A38" s="15"/>
      <c r="B38" s="15"/>
      <c r="C38" s="15"/>
      <c r="D38" s="15"/>
      <c r="E38" s="51"/>
      <c r="F38" s="51"/>
      <c r="G38" s="51"/>
      <c r="H38" s="70"/>
    </row>
    <row r="39" spans="1:8" ht="13.5" hidden="1" thickBot="1" x14ac:dyDescent="0.25">
      <c r="E39" s="51"/>
      <c r="F39" s="519"/>
      <c r="G39" s="520"/>
      <c r="H39" s="75"/>
    </row>
    <row r="40" spans="1:8" ht="13.5" hidden="1" thickBot="1" x14ac:dyDescent="0.25">
      <c r="E40" s="76"/>
      <c r="F40" s="77"/>
      <c r="G40" s="78"/>
      <c r="H40" s="79"/>
    </row>
  </sheetData>
  <sheetProtection algorithmName="SHA-512" hashValue="2oyczYY8xzkb0e8PgrSMXp8ekCbdem9iByZyzCIbGvqwLTuNa8Yu2wPq7hUO3/VXQAwJzFKRVIMpFn+W1P1FSQ==" saltValue="oEyBflALHuz1abdcAAYFKw==" spinCount="100000" sheet="1" objects="1" scenarios="1"/>
  <mergeCells count="12">
    <mergeCell ref="F39:G39"/>
    <mergeCell ref="A1:C1"/>
    <mergeCell ref="A2:C2"/>
    <mergeCell ref="A4:B4"/>
    <mergeCell ref="A10:B10"/>
    <mergeCell ref="F12:H12"/>
    <mergeCell ref="A17:B17"/>
    <mergeCell ref="C19:C20"/>
    <mergeCell ref="F21:G21"/>
    <mergeCell ref="A24:B24"/>
    <mergeCell ref="A27:B27"/>
    <mergeCell ref="F30:G30"/>
  </mergeCells>
  <dataValidations count="2">
    <dataValidation type="list" allowBlank="1" showInputMessage="1" showErrorMessage="1" sqref="B18:B22" xr:uid="{00000000-0002-0000-0800-000000000000}">
      <formula1>$J$4:$J$10</formula1>
    </dataValidation>
    <dataValidation type="list" allowBlank="1" showInputMessage="1" showErrorMessage="1" sqref="B11:B15" xr:uid="{00000000-0002-0000-0800-000001000000}">
      <formula1>$J$1:$J$2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0"/>
  <sheetViews>
    <sheetView topLeftCell="A1048576" workbookViewId="0">
      <selection sqref="A1:XFD1048576"/>
    </sheetView>
    <sheetView topLeftCell="XFD1048576" workbookViewId="1">
      <selection sqref="A1:C1"/>
    </sheetView>
  </sheetViews>
  <sheetFormatPr baseColWidth="10" defaultColWidth="11.42578125" defaultRowHeight="12.75" zeroHeight="1" x14ac:dyDescent="0.2"/>
  <cols>
    <col min="1" max="1" width="80.7109375" style="1" bestFit="1" customWidth="1"/>
    <col min="2" max="4" width="11.42578125" style="1"/>
    <col min="5" max="9" width="11.42578125" style="1" customWidth="1"/>
    <col min="10" max="10" width="5.140625" style="1" customWidth="1"/>
    <col min="11" max="13" width="11.42578125" style="1" customWidth="1"/>
    <col min="14" max="16384" width="11.42578125" style="1"/>
  </cols>
  <sheetData>
    <row r="1" spans="1:14" ht="15.75" hidden="1" x14ac:dyDescent="0.25">
      <c r="A1" s="523" t="s">
        <v>42</v>
      </c>
      <c r="B1" s="524"/>
      <c r="C1" s="524"/>
      <c r="D1" s="15"/>
      <c r="J1" s="6" t="s">
        <v>12</v>
      </c>
    </row>
    <row r="2" spans="1:14" ht="15.75" hidden="1" x14ac:dyDescent="0.25">
      <c r="A2" s="525" t="s">
        <v>53</v>
      </c>
      <c r="B2" s="525"/>
      <c r="C2" s="525"/>
      <c r="D2" s="15"/>
      <c r="J2" s="6" t="s">
        <v>11</v>
      </c>
    </row>
    <row r="3" spans="1:14" ht="6" hidden="1" customHeight="1" x14ac:dyDescent="0.2">
      <c r="A3" s="15"/>
      <c r="B3" s="15"/>
      <c r="C3" s="15"/>
      <c r="D3" s="15"/>
      <c r="J3" s="1">
        <v>0</v>
      </c>
    </row>
    <row r="4" spans="1:14" hidden="1" x14ac:dyDescent="0.2">
      <c r="A4" s="522" t="s">
        <v>43</v>
      </c>
      <c r="B4" s="522"/>
      <c r="C4" s="46" t="s">
        <v>44</v>
      </c>
      <c r="D4" s="15"/>
      <c r="J4" s="1">
        <v>1</v>
      </c>
    </row>
    <row r="5" spans="1:14" hidden="1" x14ac:dyDescent="0.2">
      <c r="A5" s="47" t="s">
        <v>45</v>
      </c>
      <c r="B5" s="7"/>
      <c r="C5" s="17">
        <v>5550</v>
      </c>
      <c r="D5" s="15"/>
      <c r="J5" s="1">
        <v>2</v>
      </c>
    </row>
    <row r="6" spans="1:14" hidden="1" x14ac:dyDescent="0.2">
      <c r="A6" s="48" t="s">
        <v>30</v>
      </c>
      <c r="B6" s="80">
        <f>+DatosIRPF!B6</f>
        <v>60</v>
      </c>
      <c r="C6" s="49">
        <f>IF(AND(B6&gt;65,B6&lt;75),918,IF(B6&gt;75,918+2040,0))</f>
        <v>0</v>
      </c>
      <c r="D6" s="15"/>
      <c r="E6" s="6"/>
      <c r="F6" s="6"/>
      <c r="G6" s="6"/>
      <c r="H6" s="6"/>
      <c r="I6" s="6"/>
      <c r="J6" s="1">
        <v>3</v>
      </c>
      <c r="K6" s="6"/>
      <c r="L6" s="6"/>
      <c r="M6" s="6"/>
      <c r="N6" s="10"/>
    </row>
    <row r="7" spans="1:14" hidden="1" x14ac:dyDescent="0.2">
      <c r="A7" s="48" t="s">
        <v>41</v>
      </c>
      <c r="B7" s="12" t="str">
        <f>+DatosIRPF!B7</f>
        <v>NO</v>
      </c>
      <c r="C7" s="49">
        <f>IF(B7="si",3246,0)</f>
        <v>0</v>
      </c>
      <c r="D7" s="15"/>
      <c r="E7" s="6"/>
      <c r="F7" s="6"/>
      <c r="G7" s="6"/>
      <c r="H7" s="6"/>
      <c r="I7" s="6"/>
      <c r="J7" s="1">
        <v>4</v>
      </c>
      <c r="K7" s="6"/>
      <c r="L7" s="6"/>
      <c r="M7" s="6"/>
      <c r="N7" s="10"/>
    </row>
    <row r="8" spans="1:14" hidden="1" x14ac:dyDescent="0.2">
      <c r="A8" s="48" t="s">
        <v>31</v>
      </c>
      <c r="B8" s="12" t="str">
        <f>+DatosIRPF!B8</f>
        <v>NO</v>
      </c>
      <c r="C8" s="49">
        <f>IF(B8="si",7242,0)</f>
        <v>0</v>
      </c>
      <c r="D8" s="15"/>
      <c r="E8" s="6"/>
      <c r="F8" s="6"/>
      <c r="G8" s="6"/>
      <c r="H8" s="6"/>
      <c r="I8" s="6"/>
      <c r="J8" s="1">
        <v>5</v>
      </c>
      <c r="K8" s="6"/>
      <c r="L8" s="6"/>
      <c r="M8" s="6"/>
      <c r="N8" s="10"/>
    </row>
    <row r="9" spans="1:14" ht="5.25" hidden="1" customHeight="1" x14ac:dyDescent="0.2">
      <c r="A9" s="15"/>
      <c r="B9" s="15"/>
      <c r="C9" s="15"/>
      <c r="D9" s="15"/>
      <c r="E9" s="6"/>
      <c r="F9" s="6"/>
      <c r="G9" s="6"/>
      <c r="H9" s="6"/>
      <c r="I9" s="6"/>
      <c r="J9" s="1">
        <v>6</v>
      </c>
      <c r="K9" s="6"/>
      <c r="L9" s="6"/>
      <c r="M9" s="6"/>
      <c r="N9" s="10"/>
    </row>
    <row r="10" spans="1:14" hidden="1" x14ac:dyDescent="0.2">
      <c r="A10" s="522" t="s">
        <v>58</v>
      </c>
      <c r="B10" s="522"/>
      <c r="C10" s="15"/>
      <c r="D10" s="15"/>
      <c r="E10" s="6"/>
      <c r="F10" s="6"/>
      <c r="G10" s="6"/>
      <c r="H10" s="6"/>
      <c r="I10" s="6"/>
      <c r="J10" s="1">
        <v>7</v>
      </c>
      <c r="K10" s="6"/>
      <c r="L10" s="6"/>
      <c r="M10" s="6"/>
      <c r="N10" s="10"/>
    </row>
    <row r="11" spans="1:14" ht="13.5" hidden="1" thickBot="1" x14ac:dyDescent="0.25">
      <c r="A11" s="48" t="s">
        <v>32</v>
      </c>
      <c r="B11" s="50" t="str">
        <f>+DatosIRPF!B11</f>
        <v>NO</v>
      </c>
      <c r="C11" s="15"/>
      <c r="D11" s="15"/>
      <c r="E11" s="6"/>
      <c r="F11" s="6"/>
      <c r="G11" s="6"/>
      <c r="H11" s="6"/>
      <c r="I11" s="6"/>
      <c r="J11" s="1">
        <v>8</v>
      </c>
      <c r="K11" s="6"/>
      <c r="L11" s="6"/>
    </row>
    <row r="12" spans="1:14" hidden="1" x14ac:dyDescent="0.2">
      <c r="A12" s="48" t="s">
        <v>33</v>
      </c>
      <c r="B12" s="50">
        <f>+DatosIRPF!B12</f>
        <v>0</v>
      </c>
      <c r="C12" s="49">
        <f>IF(B11="NO",IF(B12=1,2400,IF(B12=2,2400+2700,IF(B12=3,2400+2700+4000,IF(B12&gt;3,2400+2700+4000+((B12-3)*4500),0))))/2,IF(B12=1,2400,IF(B12=2,2400+2700,IF(B12=3,2400+2700+4000,IF(B12&gt;3,2400+2700+4000+((B12-3)*4500),0)))))</f>
        <v>0</v>
      </c>
      <c r="D12" s="15"/>
      <c r="E12" s="51"/>
      <c r="F12" s="514"/>
      <c r="G12" s="515"/>
      <c r="H12" s="516"/>
      <c r="I12" s="6"/>
      <c r="K12" s="6"/>
      <c r="L12" s="6"/>
    </row>
    <row r="13" spans="1:14" ht="13.5" hidden="1" thickBot="1" x14ac:dyDescent="0.25">
      <c r="A13" s="48" t="s">
        <v>34</v>
      </c>
      <c r="B13" s="50">
        <f>+DatosIRPF!B13</f>
        <v>0</v>
      </c>
      <c r="C13" s="49">
        <f>IF(B11="NO",+B13*2800/2,+B13*2800)</f>
        <v>0</v>
      </c>
      <c r="D13" s="15"/>
      <c r="E13" s="51"/>
      <c r="F13" s="52"/>
      <c r="G13" s="53"/>
      <c r="H13" s="54"/>
      <c r="I13" s="6"/>
      <c r="K13" s="6"/>
      <c r="L13" s="6"/>
    </row>
    <row r="14" spans="1:14" hidden="1" x14ac:dyDescent="0.2">
      <c r="A14" s="55" t="s">
        <v>35</v>
      </c>
      <c r="B14" s="50">
        <f>+DatosIRPF!B14</f>
        <v>0</v>
      </c>
      <c r="C14" s="49">
        <f>IF(B11="NO",(B14*2316*1.29)/2,(B14*2316*1.29))</f>
        <v>0</v>
      </c>
      <c r="D14" s="15"/>
      <c r="E14" s="51"/>
      <c r="F14" s="56"/>
      <c r="G14" s="57"/>
      <c r="H14" s="58"/>
      <c r="I14" s="6"/>
      <c r="K14" s="6"/>
      <c r="L14" s="6"/>
    </row>
    <row r="15" spans="1:14" hidden="1" x14ac:dyDescent="0.2">
      <c r="A15" s="55" t="s">
        <v>36</v>
      </c>
      <c r="B15" s="50">
        <f>+DatosIRPF!B15</f>
        <v>0</v>
      </c>
      <c r="C15" s="49">
        <f>IF(B11="NO",(B15*7038*1.29)/2,(B15*7038*1.29))</f>
        <v>0</v>
      </c>
      <c r="D15" s="15"/>
      <c r="E15" s="51"/>
      <c r="F15" s="59"/>
      <c r="G15" s="60"/>
      <c r="H15" s="61"/>
      <c r="I15" s="6"/>
      <c r="K15" s="6"/>
      <c r="L15" s="6"/>
    </row>
    <row r="16" spans="1:14" ht="4.5" hidden="1" customHeight="1" x14ac:dyDescent="0.2">
      <c r="A16" s="16"/>
      <c r="B16" s="16"/>
      <c r="C16" s="16"/>
      <c r="D16" s="15"/>
      <c r="E16" s="51"/>
      <c r="F16" s="59"/>
      <c r="G16" s="60"/>
      <c r="H16" s="61"/>
      <c r="I16" s="6"/>
      <c r="K16" s="6"/>
      <c r="L16" s="6"/>
    </row>
    <row r="17" spans="1:12" hidden="1" x14ac:dyDescent="0.2">
      <c r="A17" s="522" t="s">
        <v>59</v>
      </c>
      <c r="B17" s="522"/>
      <c r="C17" s="16"/>
      <c r="D17" s="15"/>
      <c r="E17" s="51"/>
      <c r="F17" s="59"/>
      <c r="G17" s="60"/>
      <c r="H17" s="61"/>
      <c r="I17" s="6"/>
      <c r="K17" s="6"/>
      <c r="L17" s="6"/>
    </row>
    <row r="18" spans="1:12" ht="13.5" hidden="1" thickBot="1" x14ac:dyDescent="0.25">
      <c r="A18" s="8" t="s">
        <v>61</v>
      </c>
      <c r="B18" s="12">
        <f>+DatosIRPF!B18</f>
        <v>1</v>
      </c>
      <c r="C18" s="16"/>
      <c r="D18" s="15"/>
      <c r="E18" s="51"/>
      <c r="F18" s="62"/>
      <c r="G18" s="63"/>
      <c r="H18" s="64"/>
      <c r="I18" s="6"/>
      <c r="K18" s="6"/>
      <c r="L18" s="6"/>
    </row>
    <row r="19" spans="1:12" hidden="1" x14ac:dyDescent="0.2">
      <c r="A19" s="48" t="s">
        <v>37</v>
      </c>
      <c r="B19" s="12">
        <f>+DatosIRPF!B19</f>
        <v>0</v>
      </c>
      <c r="C19" s="521">
        <f>((+B19*1150)+(B20*(1150+1400)))/B18</f>
        <v>0</v>
      </c>
      <c r="D19" s="15"/>
      <c r="E19" s="51"/>
      <c r="F19" s="51"/>
      <c r="G19" s="51"/>
      <c r="H19" s="51"/>
      <c r="I19" s="6"/>
      <c r="K19" s="6"/>
      <c r="L19" s="6"/>
    </row>
    <row r="20" spans="1:12" ht="13.5" hidden="1" thickBot="1" x14ac:dyDescent="0.25">
      <c r="A20" s="48" t="s">
        <v>38</v>
      </c>
      <c r="B20" s="12">
        <f>+DatosIRPF!B20</f>
        <v>0</v>
      </c>
      <c r="C20" s="521"/>
      <c r="D20" s="15"/>
      <c r="E20" s="51"/>
      <c r="F20" s="51"/>
      <c r="G20" s="51"/>
      <c r="H20" s="51"/>
      <c r="I20" s="6"/>
      <c r="K20" s="6"/>
      <c r="L20" s="6"/>
    </row>
    <row r="21" spans="1:12" ht="13.5" hidden="1" thickBot="1" x14ac:dyDescent="0.25">
      <c r="A21" s="55" t="s">
        <v>39</v>
      </c>
      <c r="B21" s="12">
        <f>+DatosIRPF!B21</f>
        <v>0</v>
      </c>
      <c r="C21" s="17">
        <f>(B21*3000)/B18</f>
        <v>0</v>
      </c>
      <c r="D21" s="15"/>
      <c r="E21" s="51"/>
      <c r="F21" s="517"/>
      <c r="G21" s="518"/>
      <c r="H21" s="51"/>
      <c r="I21" s="6"/>
      <c r="K21" s="6"/>
      <c r="L21" s="6"/>
    </row>
    <row r="22" spans="1:12" hidden="1" x14ac:dyDescent="0.2">
      <c r="A22" s="55" t="s">
        <v>40</v>
      </c>
      <c r="B22" s="12">
        <f>+DatosIRPF!B22</f>
        <v>0</v>
      </c>
      <c r="C22" s="17">
        <f>+(B22*9000)/B18</f>
        <v>0</v>
      </c>
      <c r="D22" s="15"/>
      <c r="E22" s="51"/>
      <c r="F22" s="65"/>
      <c r="G22" s="66"/>
      <c r="H22" s="51"/>
      <c r="I22" s="6"/>
      <c r="K22" s="6"/>
      <c r="L22" s="6"/>
    </row>
    <row r="23" spans="1:12" hidden="1" x14ac:dyDescent="0.2">
      <c r="A23" s="15"/>
      <c r="B23" s="15"/>
      <c r="C23" s="15"/>
      <c r="D23" s="15"/>
      <c r="E23" s="51"/>
      <c r="F23" s="67"/>
      <c r="G23" s="68"/>
      <c r="H23" s="51"/>
      <c r="I23" s="6"/>
      <c r="K23" s="6"/>
      <c r="L23" s="6"/>
    </row>
    <row r="24" spans="1:12" hidden="1" x14ac:dyDescent="0.2">
      <c r="A24" s="522" t="s">
        <v>47</v>
      </c>
      <c r="B24" s="522"/>
      <c r="C24" s="15"/>
      <c r="D24" s="15"/>
      <c r="E24" s="51"/>
      <c r="F24" s="67"/>
      <c r="G24" s="68"/>
      <c r="H24" s="51"/>
      <c r="I24" s="6"/>
      <c r="J24" s="1">
        <v>8</v>
      </c>
      <c r="K24" s="6"/>
      <c r="L24" s="6"/>
    </row>
    <row r="25" spans="1:12" hidden="1" x14ac:dyDescent="0.2">
      <c r="A25" s="69" t="s">
        <v>29</v>
      </c>
      <c r="B25" s="5">
        <f>+RESULTADO!D48</f>
        <v>39283.61</v>
      </c>
      <c r="C25" s="15"/>
      <c r="D25" s="15"/>
      <c r="E25" s="51"/>
      <c r="F25" s="67"/>
      <c r="G25" s="68"/>
      <c r="H25" s="51"/>
      <c r="I25" s="6"/>
      <c r="K25" s="6"/>
      <c r="L25" s="6"/>
    </row>
    <row r="26" spans="1:12" hidden="1" x14ac:dyDescent="0.2">
      <c r="A26" s="15"/>
      <c r="B26" s="15"/>
      <c r="C26" s="15"/>
      <c r="D26" s="15"/>
      <c r="E26" s="51"/>
      <c r="F26" s="67"/>
      <c r="G26" s="68"/>
      <c r="H26" s="70"/>
    </row>
    <row r="27" spans="1:12" ht="13.5" hidden="1" thickBot="1" x14ac:dyDescent="0.25">
      <c r="A27" s="522" t="s">
        <v>49</v>
      </c>
      <c r="B27" s="522"/>
      <c r="C27" s="15"/>
      <c r="D27" s="15"/>
      <c r="E27" s="51"/>
      <c r="F27" s="71"/>
      <c r="G27" s="72"/>
      <c r="H27" s="51"/>
    </row>
    <row r="28" spans="1:12" hidden="1" x14ac:dyDescent="0.2">
      <c r="A28" s="47" t="s">
        <v>46</v>
      </c>
      <c r="B28" s="18">
        <v>2000</v>
      </c>
      <c r="C28" s="15"/>
      <c r="D28" s="15"/>
      <c r="E28" s="51"/>
      <c r="F28" s="51"/>
      <c r="G28" s="51"/>
      <c r="H28" s="51"/>
    </row>
    <row r="29" spans="1:12" ht="13.5" hidden="1" thickBot="1" x14ac:dyDescent="0.25">
      <c r="A29" s="47" t="s">
        <v>96</v>
      </c>
      <c r="B29" s="18"/>
      <c r="C29" s="15"/>
      <c r="D29" s="15"/>
      <c r="E29" s="51"/>
      <c r="F29" s="51"/>
      <c r="G29" s="51"/>
      <c r="H29" s="51"/>
    </row>
    <row r="30" spans="1:12" ht="13.5" hidden="1" thickBot="1" x14ac:dyDescent="0.25">
      <c r="A30" s="48" t="s">
        <v>41</v>
      </c>
      <c r="B30" s="17"/>
      <c r="C30" s="15"/>
      <c r="D30" s="15"/>
      <c r="E30" s="51"/>
      <c r="F30" s="517"/>
      <c r="G30" s="518"/>
      <c r="H30" s="51"/>
    </row>
    <row r="31" spans="1:12" hidden="1" x14ac:dyDescent="0.2">
      <c r="A31" s="48" t="s">
        <v>31</v>
      </c>
      <c r="B31" s="17"/>
      <c r="C31" s="15"/>
      <c r="D31" s="15"/>
      <c r="E31" s="51"/>
      <c r="F31" s="65"/>
      <c r="G31" s="66"/>
      <c r="H31" s="51"/>
    </row>
    <row r="32" spans="1:12" hidden="1" x14ac:dyDescent="0.2">
      <c r="A32" s="55" t="s">
        <v>60</v>
      </c>
      <c r="B32" s="18">
        <f>IF(B12&gt;2,600,0)</f>
        <v>0</v>
      </c>
      <c r="C32" s="15"/>
      <c r="D32" s="15"/>
      <c r="E32" s="51"/>
      <c r="F32" s="67"/>
      <c r="G32" s="68"/>
      <c r="H32" s="51"/>
    </row>
    <row r="33" spans="1:8" hidden="1" x14ac:dyDescent="0.2">
      <c r="A33" s="47"/>
      <c r="B33" s="18"/>
      <c r="C33" s="15"/>
      <c r="D33" s="15"/>
      <c r="E33" s="51"/>
      <c r="F33" s="67"/>
      <c r="G33" s="68"/>
      <c r="H33" s="73"/>
    </row>
    <row r="34" spans="1:8" hidden="1" x14ac:dyDescent="0.2">
      <c r="A34" s="11" t="s">
        <v>48</v>
      </c>
      <c r="B34" s="18">
        <f>+B25-B29-B28-B30-B31-B32-B33</f>
        <v>37283.61</v>
      </c>
      <c r="C34" s="5">
        <f>SUM(C5:C33)</f>
        <v>5550</v>
      </c>
      <c r="D34" s="15"/>
      <c r="E34" s="51"/>
      <c r="F34" s="67"/>
      <c r="G34" s="68"/>
      <c r="H34" s="70"/>
    </row>
    <row r="35" spans="1:8" hidden="1" x14ac:dyDescent="0.2">
      <c r="A35" s="11" t="s">
        <v>50</v>
      </c>
      <c r="B35" s="18">
        <f>IF(B34&lt;12450.0000001,B34*19%,IF(AND(B34&gt;12450.000001,B34&lt;20200.0000001),((B34-12450)*24%)+2362.5,IF(AND(B34&gt;20200.000001,B34&lt;35200.0000001),((B34-20200)*30%)+4225.5,IF(AND(B34&gt;35200.000001,B34&lt;60000.0000001),((B34-35200)*37%)+8725.5,IF(B34&gt;60000.000001,((B34-60000)*45%)+17901.5,0)))))</f>
        <v>9496.4357</v>
      </c>
      <c r="C35" s="5">
        <f>IF(C34&lt;12450.0000001,C34*19%,IF(AND(C34&gt;12450.000001,C34&lt;20200.0000001),((C34-12450)*24%)+2365.5,IF(AND(C34&gt;20200.000001,C34&lt;35200.0000001),((C34-20200)*30%)+4225.5,IF(AND(C34&gt;35200.000001,C34&lt;60000.0000001),((C34-35200)*37%)+8725.5,IF(C34&gt;60000.000001,((C34-60000)*45%)+17901.5,0)))))</f>
        <v>1054.5</v>
      </c>
      <c r="D35" s="15"/>
      <c r="E35" s="51"/>
      <c r="F35" s="67"/>
      <c r="G35" s="68"/>
      <c r="H35" s="70"/>
    </row>
    <row r="36" spans="1:8" ht="13.5" hidden="1" thickBot="1" x14ac:dyDescent="0.25">
      <c r="A36" s="11" t="s">
        <v>51</v>
      </c>
      <c r="B36" s="18">
        <f>+B35-C35</f>
        <v>8441.9357</v>
      </c>
      <c r="C36" s="15"/>
      <c r="D36" s="15"/>
      <c r="E36" s="51"/>
      <c r="F36" s="71"/>
      <c r="G36" s="72"/>
      <c r="H36" s="70"/>
    </row>
    <row r="37" spans="1:8" hidden="1" x14ac:dyDescent="0.2">
      <c r="A37" s="11" t="s">
        <v>52</v>
      </c>
      <c r="B37" s="74">
        <f>+B36/B25</f>
        <v>0.21489714667261994</v>
      </c>
      <c r="C37" s="15"/>
      <c r="D37" s="15"/>
      <c r="E37" s="51"/>
      <c r="F37" s="51"/>
      <c r="G37" s="51"/>
      <c r="H37" s="70"/>
    </row>
    <row r="38" spans="1:8" ht="13.5" hidden="1" thickBot="1" x14ac:dyDescent="0.25">
      <c r="A38" s="15"/>
      <c r="B38" s="15"/>
      <c r="C38" s="15"/>
      <c r="D38" s="15"/>
      <c r="E38" s="51"/>
      <c r="F38" s="51"/>
      <c r="G38" s="51"/>
      <c r="H38" s="70"/>
    </row>
    <row r="39" spans="1:8" ht="13.5" hidden="1" thickBot="1" x14ac:dyDescent="0.25">
      <c r="E39" s="51"/>
      <c r="F39" s="519"/>
      <c r="G39" s="520"/>
      <c r="H39" s="75"/>
    </row>
    <row r="40" spans="1:8" ht="13.5" hidden="1" thickBot="1" x14ac:dyDescent="0.25">
      <c r="E40" s="76"/>
      <c r="F40" s="77"/>
      <c r="G40" s="78"/>
      <c r="H40" s="79"/>
    </row>
  </sheetData>
  <sheetProtection algorithmName="SHA-512" hashValue="DOe8vAVBYrMm/+bnZgCRy1TvqbJqUM9GKtU3I6T8T5xaDXn1npPoxPWCELqmUunSV9bhg9ox9ZcLNEWtM95abQ==" saltValue="WCByqq1f9XfaUGz6wBo3og==" spinCount="100000" sheet="1" objects="1" scenarios="1"/>
  <mergeCells count="12">
    <mergeCell ref="F39:G39"/>
    <mergeCell ref="A1:C1"/>
    <mergeCell ref="A2:C2"/>
    <mergeCell ref="A4:B4"/>
    <mergeCell ref="A10:B10"/>
    <mergeCell ref="F12:H12"/>
    <mergeCell ref="A17:B17"/>
    <mergeCell ref="C19:C20"/>
    <mergeCell ref="F21:G21"/>
    <mergeCell ref="A24:B24"/>
    <mergeCell ref="A27:B27"/>
    <mergeCell ref="F30:G30"/>
  </mergeCells>
  <dataValidations count="2">
    <dataValidation type="list" allowBlank="1" showInputMessage="1" showErrorMessage="1" sqref="B11:B15" xr:uid="{00000000-0002-0000-0900-000000000000}">
      <formula1>$J$1:$J$2</formula1>
    </dataValidation>
    <dataValidation type="list" allowBlank="1" showInputMessage="1" showErrorMessage="1" sqref="B18:B22" xr:uid="{00000000-0002-0000-0900-000001000000}">
      <formula1>$J$4:$J$10</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40"/>
  <sheetViews>
    <sheetView topLeftCell="A1048576" workbookViewId="0">
      <selection sqref="A1:XFD1048576"/>
    </sheetView>
    <sheetView topLeftCell="A1048576" workbookViewId="1">
      <selection sqref="A1:C1"/>
    </sheetView>
  </sheetViews>
  <sheetFormatPr baseColWidth="10" defaultRowHeight="12.75" zeroHeight="1" x14ac:dyDescent="0.2"/>
  <cols>
    <col min="1" max="1" width="80.7109375" style="1" bestFit="1" customWidth="1"/>
    <col min="2" max="2" width="9.140625" style="1" bestFit="1" customWidth="1"/>
    <col min="3" max="3" width="11.85546875" style="1" customWidth="1"/>
    <col min="4" max="4" width="33.5703125" style="1" customWidth="1"/>
    <col min="5" max="7" width="13.28515625" style="1" customWidth="1"/>
    <col min="8" max="8" width="12.140625" style="1" customWidth="1"/>
    <col min="9" max="9" width="10.7109375" style="1" customWidth="1"/>
    <col min="10" max="10" width="3.7109375" style="1" customWidth="1"/>
    <col min="11" max="12" width="11.42578125" style="1" customWidth="1"/>
    <col min="13" max="13" width="2.5703125" style="1" customWidth="1"/>
    <col min="14" max="14" width="15.5703125" style="1" customWidth="1"/>
    <col min="15" max="258" width="11.42578125" style="1"/>
    <col min="259" max="259" width="82.85546875" style="1" customWidth="1"/>
    <col min="260" max="260" width="10.42578125" style="1" customWidth="1"/>
    <col min="261" max="261" width="14.28515625" style="1" customWidth="1"/>
    <col min="262" max="263" width="13.28515625" style="1" bestFit="1" customWidth="1"/>
    <col min="264" max="264" width="12.140625" style="1" bestFit="1" customWidth="1"/>
    <col min="265" max="265" width="10.7109375" style="1" bestFit="1" customWidth="1"/>
    <col min="266" max="268" width="11.42578125" style="1"/>
    <col min="269" max="269" width="12" style="1" bestFit="1" customWidth="1"/>
    <col min="270" max="270" width="15.5703125" style="1" customWidth="1"/>
    <col min="271" max="514" width="11.42578125" style="1"/>
    <col min="515" max="515" width="82.85546875" style="1" customWidth="1"/>
    <col min="516" max="516" width="10.42578125" style="1" customWidth="1"/>
    <col min="517" max="517" width="14.28515625" style="1" customWidth="1"/>
    <col min="518" max="519" width="13.28515625" style="1" bestFit="1" customWidth="1"/>
    <col min="520" max="520" width="12.140625" style="1" bestFit="1" customWidth="1"/>
    <col min="521" max="521" width="10.7109375" style="1" bestFit="1" customWidth="1"/>
    <col min="522" max="524" width="11.42578125" style="1"/>
    <col min="525" max="525" width="12" style="1" bestFit="1" customWidth="1"/>
    <col min="526" max="526" width="15.5703125" style="1" customWidth="1"/>
    <col min="527" max="770" width="11.42578125" style="1"/>
    <col min="771" max="771" width="82.85546875" style="1" customWidth="1"/>
    <col min="772" max="772" width="10.42578125" style="1" customWidth="1"/>
    <col min="773" max="773" width="14.28515625" style="1" customWidth="1"/>
    <col min="774" max="775" width="13.28515625" style="1" bestFit="1" customWidth="1"/>
    <col min="776" max="776" width="12.140625" style="1" bestFit="1" customWidth="1"/>
    <col min="777" max="777" width="10.7109375" style="1" bestFit="1" customWidth="1"/>
    <col min="778" max="780" width="11.42578125" style="1"/>
    <col min="781" max="781" width="12" style="1" bestFit="1" customWidth="1"/>
    <col min="782" max="782" width="15.5703125" style="1" customWidth="1"/>
    <col min="783" max="1026" width="11.42578125" style="1"/>
    <col min="1027" max="1027" width="82.85546875" style="1" customWidth="1"/>
    <col min="1028" max="1028" width="10.42578125" style="1" customWidth="1"/>
    <col min="1029" max="1029" width="14.28515625" style="1" customWidth="1"/>
    <col min="1030" max="1031" width="13.28515625" style="1" bestFit="1" customWidth="1"/>
    <col min="1032" max="1032" width="12.140625" style="1" bestFit="1" customWidth="1"/>
    <col min="1033" max="1033" width="10.7109375" style="1" bestFit="1" customWidth="1"/>
    <col min="1034" max="1036" width="11.42578125" style="1"/>
    <col min="1037" max="1037" width="12" style="1" bestFit="1" customWidth="1"/>
    <col min="1038" max="1038" width="15.5703125" style="1" customWidth="1"/>
    <col min="1039" max="1282" width="11.42578125" style="1"/>
    <col min="1283" max="1283" width="82.85546875" style="1" customWidth="1"/>
    <col min="1284" max="1284" width="10.42578125" style="1" customWidth="1"/>
    <col min="1285" max="1285" width="14.28515625" style="1" customWidth="1"/>
    <col min="1286" max="1287" width="13.28515625" style="1" bestFit="1" customWidth="1"/>
    <col min="1288" max="1288" width="12.140625" style="1" bestFit="1" customWidth="1"/>
    <col min="1289" max="1289" width="10.7109375" style="1" bestFit="1" customWidth="1"/>
    <col min="1290" max="1292" width="11.42578125" style="1"/>
    <col min="1293" max="1293" width="12" style="1" bestFit="1" customWidth="1"/>
    <col min="1294" max="1294" width="15.5703125" style="1" customWidth="1"/>
    <col min="1295" max="1538" width="11.42578125" style="1"/>
    <col min="1539" max="1539" width="82.85546875" style="1" customWidth="1"/>
    <col min="1540" max="1540" width="10.42578125" style="1" customWidth="1"/>
    <col min="1541" max="1541" width="14.28515625" style="1" customWidth="1"/>
    <col min="1542" max="1543" width="13.28515625" style="1" bestFit="1" customWidth="1"/>
    <col min="1544" max="1544" width="12.140625" style="1" bestFit="1" customWidth="1"/>
    <col min="1545" max="1545" width="10.7109375" style="1" bestFit="1" customWidth="1"/>
    <col min="1546" max="1548" width="11.42578125" style="1"/>
    <col min="1549" max="1549" width="12" style="1" bestFit="1" customWidth="1"/>
    <col min="1550" max="1550" width="15.5703125" style="1" customWidth="1"/>
    <col min="1551" max="1794" width="11.42578125" style="1"/>
    <col min="1795" max="1795" width="82.85546875" style="1" customWidth="1"/>
    <col min="1796" max="1796" width="10.42578125" style="1" customWidth="1"/>
    <col min="1797" max="1797" width="14.28515625" style="1" customWidth="1"/>
    <col min="1798" max="1799" width="13.28515625" style="1" bestFit="1" customWidth="1"/>
    <col min="1800" max="1800" width="12.140625" style="1" bestFit="1" customWidth="1"/>
    <col min="1801" max="1801" width="10.7109375" style="1" bestFit="1" customWidth="1"/>
    <col min="1802" max="1804" width="11.42578125" style="1"/>
    <col min="1805" max="1805" width="12" style="1" bestFit="1" customWidth="1"/>
    <col min="1806" max="1806" width="15.5703125" style="1" customWidth="1"/>
    <col min="1807" max="2050" width="11.42578125" style="1"/>
    <col min="2051" max="2051" width="82.85546875" style="1" customWidth="1"/>
    <col min="2052" max="2052" width="10.42578125" style="1" customWidth="1"/>
    <col min="2053" max="2053" width="14.28515625" style="1" customWidth="1"/>
    <col min="2054" max="2055" width="13.28515625" style="1" bestFit="1" customWidth="1"/>
    <col min="2056" max="2056" width="12.140625" style="1" bestFit="1" customWidth="1"/>
    <col min="2057" max="2057" width="10.7109375" style="1" bestFit="1" customWidth="1"/>
    <col min="2058" max="2060" width="11.42578125" style="1"/>
    <col min="2061" max="2061" width="12" style="1" bestFit="1" customWidth="1"/>
    <col min="2062" max="2062" width="15.5703125" style="1" customWidth="1"/>
    <col min="2063" max="2306" width="11.42578125" style="1"/>
    <col min="2307" max="2307" width="82.85546875" style="1" customWidth="1"/>
    <col min="2308" max="2308" width="10.42578125" style="1" customWidth="1"/>
    <col min="2309" max="2309" width="14.28515625" style="1" customWidth="1"/>
    <col min="2310" max="2311" width="13.28515625" style="1" bestFit="1" customWidth="1"/>
    <col min="2312" max="2312" width="12.140625" style="1" bestFit="1" customWidth="1"/>
    <col min="2313" max="2313" width="10.7109375" style="1" bestFit="1" customWidth="1"/>
    <col min="2314" max="2316" width="11.42578125" style="1"/>
    <col min="2317" max="2317" width="12" style="1" bestFit="1" customWidth="1"/>
    <col min="2318" max="2318" width="15.5703125" style="1" customWidth="1"/>
    <col min="2319" max="2562" width="11.42578125" style="1"/>
    <col min="2563" max="2563" width="82.85546875" style="1" customWidth="1"/>
    <col min="2564" max="2564" width="10.42578125" style="1" customWidth="1"/>
    <col min="2565" max="2565" width="14.28515625" style="1" customWidth="1"/>
    <col min="2566" max="2567" width="13.28515625" style="1" bestFit="1" customWidth="1"/>
    <col min="2568" max="2568" width="12.140625" style="1" bestFit="1" customWidth="1"/>
    <col min="2569" max="2569" width="10.7109375" style="1" bestFit="1" customWidth="1"/>
    <col min="2570" max="2572" width="11.42578125" style="1"/>
    <col min="2573" max="2573" width="12" style="1" bestFit="1" customWidth="1"/>
    <col min="2574" max="2574" width="15.5703125" style="1" customWidth="1"/>
    <col min="2575" max="2818" width="11.42578125" style="1"/>
    <col min="2819" max="2819" width="82.85546875" style="1" customWidth="1"/>
    <col min="2820" max="2820" width="10.42578125" style="1" customWidth="1"/>
    <col min="2821" max="2821" width="14.28515625" style="1" customWidth="1"/>
    <col min="2822" max="2823" width="13.28515625" style="1" bestFit="1" customWidth="1"/>
    <col min="2824" max="2824" width="12.140625" style="1" bestFit="1" customWidth="1"/>
    <col min="2825" max="2825" width="10.7109375" style="1" bestFit="1" customWidth="1"/>
    <col min="2826" max="2828" width="11.42578125" style="1"/>
    <col min="2829" max="2829" width="12" style="1" bestFit="1" customWidth="1"/>
    <col min="2830" max="2830" width="15.5703125" style="1" customWidth="1"/>
    <col min="2831" max="3074" width="11.42578125" style="1"/>
    <col min="3075" max="3075" width="82.85546875" style="1" customWidth="1"/>
    <col min="3076" max="3076" width="10.42578125" style="1" customWidth="1"/>
    <col min="3077" max="3077" width="14.28515625" style="1" customWidth="1"/>
    <col min="3078" max="3079" width="13.28515625" style="1" bestFit="1" customWidth="1"/>
    <col min="3080" max="3080" width="12.140625" style="1" bestFit="1" customWidth="1"/>
    <col min="3081" max="3081" width="10.7109375" style="1" bestFit="1" customWidth="1"/>
    <col min="3082" max="3084" width="11.42578125" style="1"/>
    <col min="3085" max="3085" width="12" style="1" bestFit="1" customWidth="1"/>
    <col min="3086" max="3086" width="15.5703125" style="1" customWidth="1"/>
    <col min="3087" max="3330" width="11.42578125" style="1"/>
    <col min="3331" max="3331" width="82.85546875" style="1" customWidth="1"/>
    <col min="3332" max="3332" width="10.42578125" style="1" customWidth="1"/>
    <col min="3333" max="3333" width="14.28515625" style="1" customWidth="1"/>
    <col min="3334" max="3335" width="13.28515625" style="1" bestFit="1" customWidth="1"/>
    <col min="3336" max="3336" width="12.140625" style="1" bestFit="1" customWidth="1"/>
    <col min="3337" max="3337" width="10.7109375" style="1" bestFit="1" customWidth="1"/>
    <col min="3338" max="3340" width="11.42578125" style="1"/>
    <col min="3341" max="3341" width="12" style="1" bestFit="1" customWidth="1"/>
    <col min="3342" max="3342" width="15.5703125" style="1" customWidth="1"/>
    <col min="3343" max="3586" width="11.42578125" style="1"/>
    <col min="3587" max="3587" width="82.85546875" style="1" customWidth="1"/>
    <col min="3588" max="3588" width="10.42578125" style="1" customWidth="1"/>
    <col min="3589" max="3589" width="14.28515625" style="1" customWidth="1"/>
    <col min="3590" max="3591" width="13.28515625" style="1" bestFit="1" customWidth="1"/>
    <col min="3592" max="3592" width="12.140625" style="1" bestFit="1" customWidth="1"/>
    <col min="3593" max="3593" width="10.7109375" style="1" bestFit="1" customWidth="1"/>
    <col min="3594" max="3596" width="11.42578125" style="1"/>
    <col min="3597" max="3597" width="12" style="1" bestFit="1" customWidth="1"/>
    <col min="3598" max="3598" width="15.5703125" style="1" customWidth="1"/>
    <col min="3599" max="3842" width="11.42578125" style="1"/>
    <col min="3843" max="3843" width="82.85546875" style="1" customWidth="1"/>
    <col min="3844" max="3844" width="10.42578125" style="1" customWidth="1"/>
    <col min="3845" max="3845" width="14.28515625" style="1" customWidth="1"/>
    <col min="3846" max="3847" width="13.28515625" style="1" bestFit="1" customWidth="1"/>
    <col min="3848" max="3848" width="12.140625" style="1" bestFit="1" customWidth="1"/>
    <col min="3849" max="3849" width="10.7109375" style="1" bestFit="1" customWidth="1"/>
    <col min="3850" max="3852" width="11.42578125" style="1"/>
    <col min="3853" max="3853" width="12" style="1" bestFit="1" customWidth="1"/>
    <col min="3854" max="3854" width="15.5703125" style="1" customWidth="1"/>
    <col min="3855" max="4098" width="11.42578125" style="1"/>
    <col min="4099" max="4099" width="82.85546875" style="1" customWidth="1"/>
    <col min="4100" max="4100" width="10.42578125" style="1" customWidth="1"/>
    <col min="4101" max="4101" width="14.28515625" style="1" customWidth="1"/>
    <col min="4102" max="4103" width="13.28515625" style="1" bestFit="1" customWidth="1"/>
    <col min="4104" max="4104" width="12.140625" style="1" bestFit="1" customWidth="1"/>
    <col min="4105" max="4105" width="10.7109375" style="1" bestFit="1" customWidth="1"/>
    <col min="4106" max="4108" width="11.42578125" style="1"/>
    <col min="4109" max="4109" width="12" style="1" bestFit="1" customWidth="1"/>
    <col min="4110" max="4110" width="15.5703125" style="1" customWidth="1"/>
    <col min="4111" max="4354" width="11.42578125" style="1"/>
    <col min="4355" max="4355" width="82.85546875" style="1" customWidth="1"/>
    <col min="4356" max="4356" width="10.42578125" style="1" customWidth="1"/>
    <col min="4357" max="4357" width="14.28515625" style="1" customWidth="1"/>
    <col min="4358" max="4359" width="13.28515625" style="1" bestFit="1" customWidth="1"/>
    <col min="4360" max="4360" width="12.140625" style="1" bestFit="1" customWidth="1"/>
    <col min="4361" max="4361" width="10.7109375" style="1" bestFit="1" customWidth="1"/>
    <col min="4362" max="4364" width="11.42578125" style="1"/>
    <col min="4365" max="4365" width="12" style="1" bestFit="1" customWidth="1"/>
    <col min="4366" max="4366" width="15.5703125" style="1" customWidth="1"/>
    <col min="4367" max="4610" width="11.42578125" style="1"/>
    <col min="4611" max="4611" width="82.85546875" style="1" customWidth="1"/>
    <col min="4612" max="4612" width="10.42578125" style="1" customWidth="1"/>
    <col min="4613" max="4613" width="14.28515625" style="1" customWidth="1"/>
    <col min="4614" max="4615" width="13.28515625" style="1" bestFit="1" customWidth="1"/>
    <col min="4616" max="4616" width="12.140625" style="1" bestFit="1" customWidth="1"/>
    <col min="4617" max="4617" width="10.7109375" style="1" bestFit="1" customWidth="1"/>
    <col min="4618" max="4620" width="11.42578125" style="1"/>
    <col min="4621" max="4621" width="12" style="1" bestFit="1" customWidth="1"/>
    <col min="4622" max="4622" width="15.5703125" style="1" customWidth="1"/>
    <col min="4623" max="4866" width="11.42578125" style="1"/>
    <col min="4867" max="4867" width="82.85546875" style="1" customWidth="1"/>
    <col min="4868" max="4868" width="10.42578125" style="1" customWidth="1"/>
    <col min="4869" max="4869" width="14.28515625" style="1" customWidth="1"/>
    <col min="4870" max="4871" width="13.28515625" style="1" bestFit="1" customWidth="1"/>
    <col min="4872" max="4872" width="12.140625" style="1" bestFit="1" customWidth="1"/>
    <col min="4873" max="4873" width="10.7109375" style="1" bestFit="1" customWidth="1"/>
    <col min="4874" max="4876" width="11.42578125" style="1"/>
    <col min="4877" max="4877" width="12" style="1" bestFit="1" customWidth="1"/>
    <col min="4878" max="4878" width="15.5703125" style="1" customWidth="1"/>
    <col min="4879" max="5122" width="11.42578125" style="1"/>
    <col min="5123" max="5123" width="82.85546875" style="1" customWidth="1"/>
    <col min="5124" max="5124" width="10.42578125" style="1" customWidth="1"/>
    <col min="5125" max="5125" width="14.28515625" style="1" customWidth="1"/>
    <col min="5126" max="5127" width="13.28515625" style="1" bestFit="1" customWidth="1"/>
    <col min="5128" max="5128" width="12.140625" style="1" bestFit="1" customWidth="1"/>
    <col min="5129" max="5129" width="10.7109375" style="1" bestFit="1" customWidth="1"/>
    <col min="5130" max="5132" width="11.42578125" style="1"/>
    <col min="5133" max="5133" width="12" style="1" bestFit="1" customWidth="1"/>
    <col min="5134" max="5134" width="15.5703125" style="1" customWidth="1"/>
    <col min="5135" max="5378" width="11.42578125" style="1"/>
    <col min="5379" max="5379" width="82.85546875" style="1" customWidth="1"/>
    <col min="5380" max="5380" width="10.42578125" style="1" customWidth="1"/>
    <col min="5381" max="5381" width="14.28515625" style="1" customWidth="1"/>
    <col min="5382" max="5383" width="13.28515625" style="1" bestFit="1" customWidth="1"/>
    <col min="5384" max="5384" width="12.140625" style="1" bestFit="1" customWidth="1"/>
    <col min="5385" max="5385" width="10.7109375" style="1" bestFit="1" customWidth="1"/>
    <col min="5386" max="5388" width="11.42578125" style="1"/>
    <col min="5389" max="5389" width="12" style="1" bestFit="1" customWidth="1"/>
    <col min="5390" max="5390" width="15.5703125" style="1" customWidth="1"/>
    <col min="5391" max="5634" width="11.42578125" style="1"/>
    <col min="5635" max="5635" width="82.85546875" style="1" customWidth="1"/>
    <col min="5636" max="5636" width="10.42578125" style="1" customWidth="1"/>
    <col min="5637" max="5637" width="14.28515625" style="1" customWidth="1"/>
    <col min="5638" max="5639" width="13.28515625" style="1" bestFit="1" customWidth="1"/>
    <col min="5640" max="5640" width="12.140625" style="1" bestFit="1" customWidth="1"/>
    <col min="5641" max="5641" width="10.7109375" style="1" bestFit="1" customWidth="1"/>
    <col min="5642" max="5644" width="11.42578125" style="1"/>
    <col min="5645" max="5645" width="12" style="1" bestFit="1" customWidth="1"/>
    <col min="5646" max="5646" width="15.5703125" style="1" customWidth="1"/>
    <col min="5647" max="5890" width="11.42578125" style="1"/>
    <col min="5891" max="5891" width="82.85546875" style="1" customWidth="1"/>
    <col min="5892" max="5892" width="10.42578125" style="1" customWidth="1"/>
    <col min="5893" max="5893" width="14.28515625" style="1" customWidth="1"/>
    <col min="5894" max="5895" width="13.28515625" style="1" bestFit="1" customWidth="1"/>
    <col min="5896" max="5896" width="12.140625" style="1" bestFit="1" customWidth="1"/>
    <col min="5897" max="5897" width="10.7109375" style="1" bestFit="1" customWidth="1"/>
    <col min="5898" max="5900" width="11.42578125" style="1"/>
    <col min="5901" max="5901" width="12" style="1" bestFit="1" customWidth="1"/>
    <col min="5902" max="5902" width="15.5703125" style="1" customWidth="1"/>
    <col min="5903" max="6146" width="11.42578125" style="1"/>
    <col min="6147" max="6147" width="82.85546875" style="1" customWidth="1"/>
    <col min="6148" max="6148" width="10.42578125" style="1" customWidth="1"/>
    <col min="6149" max="6149" width="14.28515625" style="1" customWidth="1"/>
    <col min="6150" max="6151" width="13.28515625" style="1" bestFit="1" customWidth="1"/>
    <col min="6152" max="6152" width="12.140625" style="1" bestFit="1" customWidth="1"/>
    <col min="6153" max="6153" width="10.7109375" style="1" bestFit="1" customWidth="1"/>
    <col min="6154" max="6156" width="11.42578125" style="1"/>
    <col min="6157" max="6157" width="12" style="1" bestFit="1" customWidth="1"/>
    <col min="6158" max="6158" width="15.5703125" style="1" customWidth="1"/>
    <col min="6159" max="6402" width="11.42578125" style="1"/>
    <col min="6403" max="6403" width="82.85546875" style="1" customWidth="1"/>
    <col min="6404" max="6404" width="10.42578125" style="1" customWidth="1"/>
    <col min="6405" max="6405" width="14.28515625" style="1" customWidth="1"/>
    <col min="6406" max="6407" width="13.28515625" style="1" bestFit="1" customWidth="1"/>
    <col min="6408" max="6408" width="12.140625" style="1" bestFit="1" customWidth="1"/>
    <col min="6409" max="6409" width="10.7109375" style="1" bestFit="1" customWidth="1"/>
    <col min="6410" max="6412" width="11.42578125" style="1"/>
    <col min="6413" max="6413" width="12" style="1" bestFit="1" customWidth="1"/>
    <col min="6414" max="6414" width="15.5703125" style="1" customWidth="1"/>
    <col min="6415" max="6658" width="11.42578125" style="1"/>
    <col min="6659" max="6659" width="82.85546875" style="1" customWidth="1"/>
    <col min="6660" max="6660" width="10.42578125" style="1" customWidth="1"/>
    <col min="6661" max="6661" width="14.28515625" style="1" customWidth="1"/>
    <col min="6662" max="6663" width="13.28515625" style="1" bestFit="1" customWidth="1"/>
    <col min="6664" max="6664" width="12.140625" style="1" bestFit="1" customWidth="1"/>
    <col min="6665" max="6665" width="10.7109375" style="1" bestFit="1" customWidth="1"/>
    <col min="6666" max="6668" width="11.42578125" style="1"/>
    <col min="6669" max="6669" width="12" style="1" bestFit="1" customWidth="1"/>
    <col min="6670" max="6670" width="15.5703125" style="1" customWidth="1"/>
    <col min="6671" max="6914" width="11.42578125" style="1"/>
    <col min="6915" max="6915" width="82.85546875" style="1" customWidth="1"/>
    <col min="6916" max="6916" width="10.42578125" style="1" customWidth="1"/>
    <col min="6917" max="6917" width="14.28515625" style="1" customWidth="1"/>
    <col min="6918" max="6919" width="13.28515625" style="1" bestFit="1" customWidth="1"/>
    <col min="6920" max="6920" width="12.140625" style="1" bestFit="1" customWidth="1"/>
    <col min="6921" max="6921" width="10.7109375" style="1" bestFit="1" customWidth="1"/>
    <col min="6922" max="6924" width="11.42578125" style="1"/>
    <col min="6925" max="6925" width="12" style="1" bestFit="1" customWidth="1"/>
    <col min="6926" max="6926" width="15.5703125" style="1" customWidth="1"/>
    <col min="6927" max="7170" width="11.42578125" style="1"/>
    <col min="7171" max="7171" width="82.85546875" style="1" customWidth="1"/>
    <col min="7172" max="7172" width="10.42578125" style="1" customWidth="1"/>
    <col min="7173" max="7173" width="14.28515625" style="1" customWidth="1"/>
    <col min="7174" max="7175" width="13.28515625" style="1" bestFit="1" customWidth="1"/>
    <col min="7176" max="7176" width="12.140625" style="1" bestFit="1" customWidth="1"/>
    <col min="7177" max="7177" width="10.7109375" style="1" bestFit="1" customWidth="1"/>
    <col min="7178" max="7180" width="11.42578125" style="1"/>
    <col min="7181" max="7181" width="12" style="1" bestFit="1" customWidth="1"/>
    <col min="7182" max="7182" width="15.5703125" style="1" customWidth="1"/>
    <col min="7183" max="7426" width="11.42578125" style="1"/>
    <col min="7427" max="7427" width="82.85546875" style="1" customWidth="1"/>
    <col min="7428" max="7428" width="10.42578125" style="1" customWidth="1"/>
    <col min="7429" max="7429" width="14.28515625" style="1" customWidth="1"/>
    <col min="7430" max="7431" width="13.28515625" style="1" bestFit="1" customWidth="1"/>
    <col min="7432" max="7432" width="12.140625" style="1" bestFit="1" customWidth="1"/>
    <col min="7433" max="7433" width="10.7109375" style="1" bestFit="1" customWidth="1"/>
    <col min="7434" max="7436" width="11.42578125" style="1"/>
    <col min="7437" max="7437" width="12" style="1" bestFit="1" customWidth="1"/>
    <col min="7438" max="7438" width="15.5703125" style="1" customWidth="1"/>
    <col min="7439" max="7682" width="11.42578125" style="1"/>
    <col min="7683" max="7683" width="82.85546875" style="1" customWidth="1"/>
    <col min="7684" max="7684" width="10.42578125" style="1" customWidth="1"/>
    <col min="7685" max="7685" width="14.28515625" style="1" customWidth="1"/>
    <col min="7686" max="7687" width="13.28515625" style="1" bestFit="1" customWidth="1"/>
    <col min="7688" max="7688" width="12.140625" style="1" bestFit="1" customWidth="1"/>
    <col min="7689" max="7689" width="10.7109375" style="1" bestFit="1" customWidth="1"/>
    <col min="7690" max="7692" width="11.42578125" style="1"/>
    <col min="7693" max="7693" width="12" style="1" bestFit="1" customWidth="1"/>
    <col min="7694" max="7694" width="15.5703125" style="1" customWidth="1"/>
    <col min="7695" max="7938" width="11.42578125" style="1"/>
    <col min="7939" max="7939" width="82.85546875" style="1" customWidth="1"/>
    <col min="7940" max="7940" width="10.42578125" style="1" customWidth="1"/>
    <col min="7941" max="7941" width="14.28515625" style="1" customWidth="1"/>
    <col min="7942" max="7943" width="13.28515625" style="1" bestFit="1" customWidth="1"/>
    <col min="7944" max="7944" width="12.140625" style="1" bestFit="1" customWidth="1"/>
    <col min="7945" max="7945" width="10.7109375" style="1" bestFit="1" customWidth="1"/>
    <col min="7946" max="7948" width="11.42578125" style="1"/>
    <col min="7949" max="7949" width="12" style="1" bestFit="1" customWidth="1"/>
    <col min="7950" max="7950" width="15.5703125" style="1" customWidth="1"/>
    <col min="7951" max="8194" width="11.42578125" style="1"/>
    <col min="8195" max="8195" width="82.85546875" style="1" customWidth="1"/>
    <col min="8196" max="8196" width="10.42578125" style="1" customWidth="1"/>
    <col min="8197" max="8197" width="14.28515625" style="1" customWidth="1"/>
    <col min="8198" max="8199" width="13.28515625" style="1" bestFit="1" customWidth="1"/>
    <col min="8200" max="8200" width="12.140625" style="1" bestFit="1" customWidth="1"/>
    <col min="8201" max="8201" width="10.7109375" style="1" bestFit="1" customWidth="1"/>
    <col min="8202" max="8204" width="11.42578125" style="1"/>
    <col min="8205" max="8205" width="12" style="1" bestFit="1" customWidth="1"/>
    <col min="8206" max="8206" width="15.5703125" style="1" customWidth="1"/>
    <col min="8207" max="8450" width="11.42578125" style="1"/>
    <col min="8451" max="8451" width="82.85546875" style="1" customWidth="1"/>
    <col min="8452" max="8452" width="10.42578125" style="1" customWidth="1"/>
    <col min="8453" max="8453" width="14.28515625" style="1" customWidth="1"/>
    <col min="8454" max="8455" width="13.28515625" style="1" bestFit="1" customWidth="1"/>
    <col min="8456" max="8456" width="12.140625" style="1" bestFit="1" customWidth="1"/>
    <col min="8457" max="8457" width="10.7109375" style="1" bestFit="1" customWidth="1"/>
    <col min="8458" max="8460" width="11.42578125" style="1"/>
    <col min="8461" max="8461" width="12" style="1" bestFit="1" customWidth="1"/>
    <col min="8462" max="8462" width="15.5703125" style="1" customWidth="1"/>
    <col min="8463" max="8706" width="11.42578125" style="1"/>
    <col min="8707" max="8707" width="82.85546875" style="1" customWidth="1"/>
    <col min="8708" max="8708" width="10.42578125" style="1" customWidth="1"/>
    <col min="8709" max="8709" width="14.28515625" style="1" customWidth="1"/>
    <col min="8710" max="8711" width="13.28515625" style="1" bestFit="1" customWidth="1"/>
    <col min="8712" max="8712" width="12.140625" style="1" bestFit="1" customWidth="1"/>
    <col min="8713" max="8713" width="10.7109375" style="1" bestFit="1" customWidth="1"/>
    <col min="8714" max="8716" width="11.42578125" style="1"/>
    <col min="8717" max="8717" width="12" style="1" bestFit="1" customWidth="1"/>
    <col min="8718" max="8718" width="15.5703125" style="1" customWidth="1"/>
    <col min="8719" max="8962" width="11.42578125" style="1"/>
    <col min="8963" max="8963" width="82.85546875" style="1" customWidth="1"/>
    <col min="8964" max="8964" width="10.42578125" style="1" customWidth="1"/>
    <col min="8965" max="8965" width="14.28515625" style="1" customWidth="1"/>
    <col min="8966" max="8967" width="13.28515625" style="1" bestFit="1" customWidth="1"/>
    <col min="8968" max="8968" width="12.140625" style="1" bestFit="1" customWidth="1"/>
    <col min="8969" max="8969" width="10.7109375" style="1" bestFit="1" customWidth="1"/>
    <col min="8970" max="8972" width="11.42578125" style="1"/>
    <col min="8973" max="8973" width="12" style="1" bestFit="1" customWidth="1"/>
    <col min="8974" max="8974" width="15.5703125" style="1" customWidth="1"/>
    <col min="8975" max="9218" width="11.42578125" style="1"/>
    <col min="9219" max="9219" width="82.85546875" style="1" customWidth="1"/>
    <col min="9220" max="9220" width="10.42578125" style="1" customWidth="1"/>
    <col min="9221" max="9221" width="14.28515625" style="1" customWidth="1"/>
    <col min="9222" max="9223" width="13.28515625" style="1" bestFit="1" customWidth="1"/>
    <col min="9224" max="9224" width="12.140625" style="1" bestFit="1" customWidth="1"/>
    <col min="9225" max="9225" width="10.7109375" style="1" bestFit="1" customWidth="1"/>
    <col min="9226" max="9228" width="11.42578125" style="1"/>
    <col min="9229" max="9229" width="12" style="1" bestFit="1" customWidth="1"/>
    <col min="9230" max="9230" width="15.5703125" style="1" customWidth="1"/>
    <col min="9231" max="9474" width="11.42578125" style="1"/>
    <col min="9475" max="9475" width="82.85546875" style="1" customWidth="1"/>
    <col min="9476" max="9476" width="10.42578125" style="1" customWidth="1"/>
    <col min="9477" max="9477" width="14.28515625" style="1" customWidth="1"/>
    <col min="9478" max="9479" width="13.28515625" style="1" bestFit="1" customWidth="1"/>
    <col min="9480" max="9480" width="12.140625" style="1" bestFit="1" customWidth="1"/>
    <col min="9481" max="9481" width="10.7109375" style="1" bestFit="1" customWidth="1"/>
    <col min="9482" max="9484" width="11.42578125" style="1"/>
    <col min="9485" max="9485" width="12" style="1" bestFit="1" customWidth="1"/>
    <col min="9486" max="9486" width="15.5703125" style="1" customWidth="1"/>
    <col min="9487" max="9730" width="11.42578125" style="1"/>
    <col min="9731" max="9731" width="82.85546875" style="1" customWidth="1"/>
    <col min="9732" max="9732" width="10.42578125" style="1" customWidth="1"/>
    <col min="9733" max="9733" width="14.28515625" style="1" customWidth="1"/>
    <col min="9734" max="9735" width="13.28515625" style="1" bestFit="1" customWidth="1"/>
    <col min="9736" max="9736" width="12.140625" style="1" bestFit="1" customWidth="1"/>
    <col min="9737" max="9737" width="10.7109375" style="1" bestFit="1" customWidth="1"/>
    <col min="9738" max="9740" width="11.42578125" style="1"/>
    <col min="9741" max="9741" width="12" style="1" bestFit="1" customWidth="1"/>
    <col min="9742" max="9742" width="15.5703125" style="1" customWidth="1"/>
    <col min="9743" max="9986" width="11.42578125" style="1"/>
    <col min="9987" max="9987" width="82.85546875" style="1" customWidth="1"/>
    <col min="9988" max="9988" width="10.42578125" style="1" customWidth="1"/>
    <col min="9989" max="9989" width="14.28515625" style="1" customWidth="1"/>
    <col min="9990" max="9991" width="13.28515625" style="1" bestFit="1" customWidth="1"/>
    <col min="9992" max="9992" width="12.140625" style="1" bestFit="1" customWidth="1"/>
    <col min="9993" max="9993" width="10.7109375" style="1" bestFit="1" customWidth="1"/>
    <col min="9994" max="9996" width="11.42578125" style="1"/>
    <col min="9997" max="9997" width="12" style="1" bestFit="1" customWidth="1"/>
    <col min="9998" max="9998" width="15.5703125" style="1" customWidth="1"/>
    <col min="9999" max="10242" width="11.42578125" style="1"/>
    <col min="10243" max="10243" width="82.85546875" style="1" customWidth="1"/>
    <col min="10244" max="10244" width="10.42578125" style="1" customWidth="1"/>
    <col min="10245" max="10245" width="14.28515625" style="1" customWidth="1"/>
    <col min="10246" max="10247" width="13.28515625" style="1" bestFit="1" customWidth="1"/>
    <col min="10248" max="10248" width="12.140625" style="1" bestFit="1" customWidth="1"/>
    <col min="10249" max="10249" width="10.7109375" style="1" bestFit="1" customWidth="1"/>
    <col min="10250" max="10252" width="11.42578125" style="1"/>
    <col min="10253" max="10253" width="12" style="1" bestFit="1" customWidth="1"/>
    <col min="10254" max="10254" width="15.5703125" style="1" customWidth="1"/>
    <col min="10255" max="10498" width="11.42578125" style="1"/>
    <col min="10499" max="10499" width="82.85546875" style="1" customWidth="1"/>
    <col min="10500" max="10500" width="10.42578125" style="1" customWidth="1"/>
    <col min="10501" max="10501" width="14.28515625" style="1" customWidth="1"/>
    <col min="10502" max="10503" width="13.28515625" style="1" bestFit="1" customWidth="1"/>
    <col min="10504" max="10504" width="12.140625" style="1" bestFit="1" customWidth="1"/>
    <col min="10505" max="10505" width="10.7109375" style="1" bestFit="1" customWidth="1"/>
    <col min="10506" max="10508" width="11.42578125" style="1"/>
    <col min="10509" max="10509" width="12" style="1" bestFit="1" customWidth="1"/>
    <col min="10510" max="10510" width="15.5703125" style="1" customWidth="1"/>
    <col min="10511" max="10754" width="11.42578125" style="1"/>
    <col min="10755" max="10755" width="82.85546875" style="1" customWidth="1"/>
    <col min="10756" max="10756" width="10.42578125" style="1" customWidth="1"/>
    <col min="10757" max="10757" width="14.28515625" style="1" customWidth="1"/>
    <col min="10758" max="10759" width="13.28515625" style="1" bestFit="1" customWidth="1"/>
    <col min="10760" max="10760" width="12.140625" style="1" bestFit="1" customWidth="1"/>
    <col min="10761" max="10761" width="10.7109375" style="1" bestFit="1" customWidth="1"/>
    <col min="10762" max="10764" width="11.42578125" style="1"/>
    <col min="10765" max="10765" width="12" style="1" bestFit="1" customWidth="1"/>
    <col min="10766" max="10766" width="15.5703125" style="1" customWidth="1"/>
    <col min="10767" max="11010" width="11.42578125" style="1"/>
    <col min="11011" max="11011" width="82.85546875" style="1" customWidth="1"/>
    <col min="11012" max="11012" width="10.42578125" style="1" customWidth="1"/>
    <col min="11013" max="11013" width="14.28515625" style="1" customWidth="1"/>
    <col min="11014" max="11015" width="13.28515625" style="1" bestFit="1" customWidth="1"/>
    <col min="11016" max="11016" width="12.140625" style="1" bestFit="1" customWidth="1"/>
    <col min="11017" max="11017" width="10.7109375" style="1" bestFit="1" customWidth="1"/>
    <col min="11018" max="11020" width="11.42578125" style="1"/>
    <col min="11021" max="11021" width="12" style="1" bestFit="1" customWidth="1"/>
    <col min="11022" max="11022" width="15.5703125" style="1" customWidth="1"/>
    <col min="11023" max="11266" width="11.42578125" style="1"/>
    <col min="11267" max="11267" width="82.85546875" style="1" customWidth="1"/>
    <col min="11268" max="11268" width="10.42578125" style="1" customWidth="1"/>
    <col min="11269" max="11269" width="14.28515625" style="1" customWidth="1"/>
    <col min="11270" max="11271" width="13.28515625" style="1" bestFit="1" customWidth="1"/>
    <col min="11272" max="11272" width="12.140625" style="1" bestFit="1" customWidth="1"/>
    <col min="11273" max="11273" width="10.7109375" style="1" bestFit="1" customWidth="1"/>
    <col min="11274" max="11276" width="11.42578125" style="1"/>
    <col min="11277" max="11277" width="12" style="1" bestFit="1" customWidth="1"/>
    <col min="11278" max="11278" width="15.5703125" style="1" customWidth="1"/>
    <col min="11279" max="11522" width="11.42578125" style="1"/>
    <col min="11523" max="11523" width="82.85546875" style="1" customWidth="1"/>
    <col min="11524" max="11524" width="10.42578125" style="1" customWidth="1"/>
    <col min="11525" max="11525" width="14.28515625" style="1" customWidth="1"/>
    <col min="11526" max="11527" width="13.28515625" style="1" bestFit="1" customWidth="1"/>
    <col min="11528" max="11528" width="12.140625" style="1" bestFit="1" customWidth="1"/>
    <col min="11529" max="11529" width="10.7109375" style="1" bestFit="1" customWidth="1"/>
    <col min="11530" max="11532" width="11.42578125" style="1"/>
    <col min="11533" max="11533" width="12" style="1" bestFit="1" customWidth="1"/>
    <col min="11534" max="11534" width="15.5703125" style="1" customWidth="1"/>
    <col min="11535" max="11778" width="11.42578125" style="1"/>
    <col min="11779" max="11779" width="82.85546875" style="1" customWidth="1"/>
    <col min="11780" max="11780" width="10.42578125" style="1" customWidth="1"/>
    <col min="11781" max="11781" width="14.28515625" style="1" customWidth="1"/>
    <col min="11782" max="11783" width="13.28515625" style="1" bestFit="1" customWidth="1"/>
    <col min="11784" max="11784" width="12.140625" style="1" bestFit="1" customWidth="1"/>
    <col min="11785" max="11785" width="10.7109375" style="1" bestFit="1" customWidth="1"/>
    <col min="11786" max="11788" width="11.42578125" style="1"/>
    <col min="11789" max="11789" width="12" style="1" bestFit="1" customWidth="1"/>
    <col min="11790" max="11790" width="15.5703125" style="1" customWidth="1"/>
    <col min="11791" max="12034" width="11.42578125" style="1"/>
    <col min="12035" max="12035" width="82.85546875" style="1" customWidth="1"/>
    <col min="12036" max="12036" width="10.42578125" style="1" customWidth="1"/>
    <col min="12037" max="12037" width="14.28515625" style="1" customWidth="1"/>
    <col min="12038" max="12039" width="13.28515625" style="1" bestFit="1" customWidth="1"/>
    <col min="12040" max="12040" width="12.140625" style="1" bestFit="1" customWidth="1"/>
    <col min="12041" max="12041" width="10.7109375" style="1" bestFit="1" customWidth="1"/>
    <col min="12042" max="12044" width="11.42578125" style="1"/>
    <col min="12045" max="12045" width="12" style="1" bestFit="1" customWidth="1"/>
    <col min="12046" max="12046" width="15.5703125" style="1" customWidth="1"/>
    <col min="12047" max="12290" width="11.42578125" style="1"/>
    <col min="12291" max="12291" width="82.85546875" style="1" customWidth="1"/>
    <col min="12292" max="12292" width="10.42578125" style="1" customWidth="1"/>
    <col min="12293" max="12293" width="14.28515625" style="1" customWidth="1"/>
    <col min="12294" max="12295" width="13.28515625" style="1" bestFit="1" customWidth="1"/>
    <col min="12296" max="12296" width="12.140625" style="1" bestFit="1" customWidth="1"/>
    <col min="12297" max="12297" width="10.7109375" style="1" bestFit="1" customWidth="1"/>
    <col min="12298" max="12300" width="11.42578125" style="1"/>
    <col min="12301" max="12301" width="12" style="1" bestFit="1" customWidth="1"/>
    <col min="12302" max="12302" width="15.5703125" style="1" customWidth="1"/>
    <col min="12303" max="12546" width="11.42578125" style="1"/>
    <col min="12547" max="12547" width="82.85546875" style="1" customWidth="1"/>
    <col min="12548" max="12548" width="10.42578125" style="1" customWidth="1"/>
    <col min="12549" max="12549" width="14.28515625" style="1" customWidth="1"/>
    <col min="12550" max="12551" width="13.28515625" style="1" bestFit="1" customWidth="1"/>
    <col min="12552" max="12552" width="12.140625" style="1" bestFit="1" customWidth="1"/>
    <col min="12553" max="12553" width="10.7109375" style="1" bestFit="1" customWidth="1"/>
    <col min="12554" max="12556" width="11.42578125" style="1"/>
    <col min="12557" max="12557" width="12" style="1" bestFit="1" customWidth="1"/>
    <col min="12558" max="12558" width="15.5703125" style="1" customWidth="1"/>
    <col min="12559" max="12802" width="11.42578125" style="1"/>
    <col min="12803" max="12803" width="82.85546875" style="1" customWidth="1"/>
    <col min="12804" max="12804" width="10.42578125" style="1" customWidth="1"/>
    <col min="12805" max="12805" width="14.28515625" style="1" customWidth="1"/>
    <col min="12806" max="12807" width="13.28515625" style="1" bestFit="1" customWidth="1"/>
    <col min="12808" max="12808" width="12.140625" style="1" bestFit="1" customWidth="1"/>
    <col min="12809" max="12809" width="10.7109375" style="1" bestFit="1" customWidth="1"/>
    <col min="12810" max="12812" width="11.42578125" style="1"/>
    <col min="12813" max="12813" width="12" style="1" bestFit="1" customWidth="1"/>
    <col min="12814" max="12814" width="15.5703125" style="1" customWidth="1"/>
    <col min="12815" max="13058" width="11.42578125" style="1"/>
    <col min="13059" max="13059" width="82.85546875" style="1" customWidth="1"/>
    <col min="13060" max="13060" width="10.42578125" style="1" customWidth="1"/>
    <col min="13061" max="13061" width="14.28515625" style="1" customWidth="1"/>
    <col min="13062" max="13063" width="13.28515625" style="1" bestFit="1" customWidth="1"/>
    <col min="13064" max="13064" width="12.140625" style="1" bestFit="1" customWidth="1"/>
    <col min="13065" max="13065" width="10.7109375" style="1" bestFit="1" customWidth="1"/>
    <col min="13066" max="13068" width="11.42578125" style="1"/>
    <col min="13069" max="13069" width="12" style="1" bestFit="1" customWidth="1"/>
    <col min="13070" max="13070" width="15.5703125" style="1" customWidth="1"/>
    <col min="13071" max="13314" width="11.42578125" style="1"/>
    <col min="13315" max="13315" width="82.85546875" style="1" customWidth="1"/>
    <col min="13316" max="13316" width="10.42578125" style="1" customWidth="1"/>
    <col min="13317" max="13317" width="14.28515625" style="1" customWidth="1"/>
    <col min="13318" max="13319" width="13.28515625" style="1" bestFit="1" customWidth="1"/>
    <col min="13320" max="13320" width="12.140625" style="1" bestFit="1" customWidth="1"/>
    <col min="13321" max="13321" width="10.7109375" style="1" bestFit="1" customWidth="1"/>
    <col min="13322" max="13324" width="11.42578125" style="1"/>
    <col min="13325" max="13325" width="12" style="1" bestFit="1" customWidth="1"/>
    <col min="13326" max="13326" width="15.5703125" style="1" customWidth="1"/>
    <col min="13327" max="13570" width="11.42578125" style="1"/>
    <col min="13571" max="13571" width="82.85546875" style="1" customWidth="1"/>
    <col min="13572" max="13572" width="10.42578125" style="1" customWidth="1"/>
    <col min="13573" max="13573" width="14.28515625" style="1" customWidth="1"/>
    <col min="13574" max="13575" width="13.28515625" style="1" bestFit="1" customWidth="1"/>
    <col min="13576" max="13576" width="12.140625" style="1" bestFit="1" customWidth="1"/>
    <col min="13577" max="13577" width="10.7109375" style="1" bestFit="1" customWidth="1"/>
    <col min="13578" max="13580" width="11.42578125" style="1"/>
    <col min="13581" max="13581" width="12" style="1" bestFit="1" customWidth="1"/>
    <col min="13582" max="13582" width="15.5703125" style="1" customWidth="1"/>
    <col min="13583" max="13826" width="11.42578125" style="1"/>
    <col min="13827" max="13827" width="82.85546875" style="1" customWidth="1"/>
    <col min="13828" max="13828" width="10.42578125" style="1" customWidth="1"/>
    <col min="13829" max="13829" width="14.28515625" style="1" customWidth="1"/>
    <col min="13830" max="13831" width="13.28515625" style="1" bestFit="1" customWidth="1"/>
    <col min="13832" max="13832" width="12.140625" style="1" bestFit="1" customWidth="1"/>
    <col min="13833" max="13833" width="10.7109375" style="1" bestFit="1" customWidth="1"/>
    <col min="13834" max="13836" width="11.42578125" style="1"/>
    <col min="13837" max="13837" width="12" style="1" bestFit="1" customWidth="1"/>
    <col min="13838" max="13838" width="15.5703125" style="1" customWidth="1"/>
    <col min="13839" max="14082" width="11.42578125" style="1"/>
    <col min="14083" max="14083" width="82.85546875" style="1" customWidth="1"/>
    <col min="14084" max="14084" width="10.42578125" style="1" customWidth="1"/>
    <col min="14085" max="14085" width="14.28515625" style="1" customWidth="1"/>
    <col min="14086" max="14087" width="13.28515625" style="1" bestFit="1" customWidth="1"/>
    <col min="14088" max="14088" width="12.140625" style="1" bestFit="1" customWidth="1"/>
    <col min="14089" max="14089" width="10.7109375" style="1" bestFit="1" customWidth="1"/>
    <col min="14090" max="14092" width="11.42578125" style="1"/>
    <col min="14093" max="14093" width="12" style="1" bestFit="1" customWidth="1"/>
    <col min="14094" max="14094" width="15.5703125" style="1" customWidth="1"/>
    <col min="14095" max="14338" width="11.42578125" style="1"/>
    <col min="14339" max="14339" width="82.85546875" style="1" customWidth="1"/>
    <col min="14340" max="14340" width="10.42578125" style="1" customWidth="1"/>
    <col min="14341" max="14341" width="14.28515625" style="1" customWidth="1"/>
    <col min="14342" max="14343" width="13.28515625" style="1" bestFit="1" customWidth="1"/>
    <col min="14344" max="14344" width="12.140625" style="1" bestFit="1" customWidth="1"/>
    <col min="14345" max="14345" width="10.7109375" style="1" bestFit="1" customWidth="1"/>
    <col min="14346" max="14348" width="11.42578125" style="1"/>
    <col min="14349" max="14349" width="12" style="1" bestFit="1" customWidth="1"/>
    <col min="14350" max="14350" width="15.5703125" style="1" customWidth="1"/>
    <col min="14351" max="14594" width="11.42578125" style="1"/>
    <col min="14595" max="14595" width="82.85546875" style="1" customWidth="1"/>
    <col min="14596" max="14596" width="10.42578125" style="1" customWidth="1"/>
    <col min="14597" max="14597" width="14.28515625" style="1" customWidth="1"/>
    <col min="14598" max="14599" width="13.28515625" style="1" bestFit="1" customWidth="1"/>
    <col min="14600" max="14600" width="12.140625" style="1" bestFit="1" customWidth="1"/>
    <col min="14601" max="14601" width="10.7109375" style="1" bestFit="1" customWidth="1"/>
    <col min="14602" max="14604" width="11.42578125" style="1"/>
    <col min="14605" max="14605" width="12" style="1" bestFit="1" customWidth="1"/>
    <col min="14606" max="14606" width="15.5703125" style="1" customWidth="1"/>
    <col min="14607" max="14850" width="11.42578125" style="1"/>
    <col min="14851" max="14851" width="82.85546875" style="1" customWidth="1"/>
    <col min="14852" max="14852" width="10.42578125" style="1" customWidth="1"/>
    <col min="14853" max="14853" width="14.28515625" style="1" customWidth="1"/>
    <col min="14854" max="14855" width="13.28515625" style="1" bestFit="1" customWidth="1"/>
    <col min="14856" max="14856" width="12.140625" style="1" bestFit="1" customWidth="1"/>
    <col min="14857" max="14857" width="10.7109375" style="1" bestFit="1" customWidth="1"/>
    <col min="14858" max="14860" width="11.42578125" style="1"/>
    <col min="14861" max="14861" width="12" style="1" bestFit="1" customWidth="1"/>
    <col min="14862" max="14862" width="15.5703125" style="1" customWidth="1"/>
    <col min="14863" max="15106" width="11.42578125" style="1"/>
    <col min="15107" max="15107" width="82.85546875" style="1" customWidth="1"/>
    <col min="15108" max="15108" width="10.42578125" style="1" customWidth="1"/>
    <col min="15109" max="15109" width="14.28515625" style="1" customWidth="1"/>
    <col min="15110" max="15111" width="13.28515625" style="1" bestFit="1" customWidth="1"/>
    <col min="15112" max="15112" width="12.140625" style="1" bestFit="1" customWidth="1"/>
    <col min="15113" max="15113" width="10.7109375" style="1" bestFit="1" customWidth="1"/>
    <col min="15114" max="15116" width="11.42578125" style="1"/>
    <col min="15117" max="15117" width="12" style="1" bestFit="1" customWidth="1"/>
    <col min="15118" max="15118" width="15.5703125" style="1" customWidth="1"/>
    <col min="15119" max="15362" width="11.42578125" style="1"/>
    <col min="15363" max="15363" width="82.85546875" style="1" customWidth="1"/>
    <col min="15364" max="15364" width="10.42578125" style="1" customWidth="1"/>
    <col min="15365" max="15365" width="14.28515625" style="1" customWidth="1"/>
    <col min="15366" max="15367" width="13.28515625" style="1" bestFit="1" customWidth="1"/>
    <col min="15368" max="15368" width="12.140625" style="1" bestFit="1" customWidth="1"/>
    <col min="15369" max="15369" width="10.7109375" style="1" bestFit="1" customWidth="1"/>
    <col min="15370" max="15372" width="11.42578125" style="1"/>
    <col min="15373" max="15373" width="12" style="1" bestFit="1" customWidth="1"/>
    <col min="15374" max="15374" width="15.5703125" style="1" customWidth="1"/>
    <col min="15375" max="15618" width="11.42578125" style="1"/>
    <col min="15619" max="15619" width="82.85546875" style="1" customWidth="1"/>
    <col min="15620" max="15620" width="10.42578125" style="1" customWidth="1"/>
    <col min="15621" max="15621" width="14.28515625" style="1" customWidth="1"/>
    <col min="15622" max="15623" width="13.28515625" style="1" bestFit="1" customWidth="1"/>
    <col min="15624" max="15624" width="12.140625" style="1" bestFit="1" customWidth="1"/>
    <col min="15625" max="15625" width="10.7109375" style="1" bestFit="1" customWidth="1"/>
    <col min="15626" max="15628" width="11.42578125" style="1"/>
    <col min="15629" max="15629" width="12" style="1" bestFit="1" customWidth="1"/>
    <col min="15630" max="15630" width="15.5703125" style="1" customWidth="1"/>
    <col min="15631" max="15874" width="11.42578125" style="1"/>
    <col min="15875" max="15875" width="82.85546875" style="1" customWidth="1"/>
    <col min="15876" max="15876" width="10.42578125" style="1" customWidth="1"/>
    <col min="15877" max="15877" width="14.28515625" style="1" customWidth="1"/>
    <col min="15878" max="15879" width="13.28515625" style="1" bestFit="1" customWidth="1"/>
    <col min="15880" max="15880" width="12.140625" style="1" bestFit="1" customWidth="1"/>
    <col min="15881" max="15881" width="10.7109375" style="1" bestFit="1" customWidth="1"/>
    <col min="15882" max="15884" width="11.42578125" style="1"/>
    <col min="15885" max="15885" width="12" style="1" bestFit="1" customWidth="1"/>
    <col min="15886" max="15886" width="15.5703125" style="1" customWidth="1"/>
    <col min="15887" max="16130" width="11.42578125" style="1"/>
    <col min="16131" max="16131" width="82.85546875" style="1" customWidth="1"/>
    <col min="16132" max="16132" width="10.42578125" style="1" customWidth="1"/>
    <col min="16133" max="16133" width="14.28515625" style="1" customWidth="1"/>
    <col min="16134" max="16135" width="13.28515625" style="1" bestFit="1" customWidth="1"/>
    <col min="16136" max="16136" width="12.140625" style="1" bestFit="1" customWidth="1"/>
    <col min="16137" max="16137" width="10.7109375" style="1" bestFit="1" customWidth="1"/>
    <col min="16138" max="16140" width="11.42578125" style="1"/>
    <col min="16141" max="16141" width="12" style="1" bestFit="1" customWidth="1"/>
    <col min="16142" max="16142" width="15.5703125" style="1" customWidth="1"/>
    <col min="16143" max="16384" width="11.42578125" style="1"/>
  </cols>
  <sheetData>
    <row r="1" spans="1:14" ht="15.75" hidden="1" x14ac:dyDescent="0.25">
      <c r="A1" s="523" t="s">
        <v>42</v>
      </c>
      <c r="B1" s="524"/>
      <c r="C1" s="524"/>
      <c r="D1" s="15"/>
      <c r="J1" s="6" t="s">
        <v>12</v>
      </c>
    </row>
    <row r="2" spans="1:14" ht="15.75" hidden="1" x14ac:dyDescent="0.25">
      <c r="A2" s="525" t="s">
        <v>53</v>
      </c>
      <c r="B2" s="525"/>
      <c r="C2" s="525"/>
      <c r="D2" s="15"/>
      <c r="J2" s="6" t="s">
        <v>11</v>
      </c>
    </row>
    <row r="3" spans="1:14" ht="6" hidden="1" customHeight="1" x14ac:dyDescent="0.2">
      <c r="A3" s="15"/>
      <c r="B3" s="15"/>
      <c r="C3" s="15"/>
      <c r="D3" s="15"/>
      <c r="J3" s="1">
        <v>0</v>
      </c>
    </row>
    <row r="4" spans="1:14" hidden="1" x14ac:dyDescent="0.2">
      <c r="A4" s="522" t="s">
        <v>43</v>
      </c>
      <c r="B4" s="522"/>
      <c r="C4" s="46" t="s">
        <v>44</v>
      </c>
      <c r="D4" s="15"/>
      <c r="J4" s="1">
        <v>1</v>
      </c>
    </row>
    <row r="5" spans="1:14" hidden="1" x14ac:dyDescent="0.2">
      <c r="A5" s="47" t="s">
        <v>45</v>
      </c>
      <c r="B5" s="7"/>
      <c r="C5" s="17">
        <v>5550</v>
      </c>
      <c r="D5" s="15"/>
      <c r="J5" s="1">
        <v>2</v>
      </c>
    </row>
    <row r="6" spans="1:14" hidden="1" x14ac:dyDescent="0.2">
      <c r="A6" s="48" t="s">
        <v>97</v>
      </c>
      <c r="B6" s="83">
        <f>(+Datos!E18-Datos!E16)/365.25</f>
        <v>60</v>
      </c>
      <c r="C6" s="49">
        <f>IF(AND(B6&gt;65,B6&lt;75),918,IF(B6&gt;75,918+2040,0))</f>
        <v>0</v>
      </c>
      <c r="D6" s="15"/>
      <c r="E6" s="6"/>
      <c r="I6" s="6"/>
      <c r="J6" s="1">
        <v>3</v>
      </c>
      <c r="K6" s="6"/>
      <c r="L6" s="6"/>
      <c r="M6" s="6"/>
      <c r="N6" s="10"/>
    </row>
    <row r="7" spans="1:14" hidden="1" x14ac:dyDescent="0.2">
      <c r="A7" s="48" t="s">
        <v>41</v>
      </c>
      <c r="B7" s="50" t="str">
        <f>+Datos!Y27</f>
        <v>NO</v>
      </c>
      <c r="C7" s="49">
        <f>IF(B7="si",3246,0)</f>
        <v>0</v>
      </c>
      <c r="D7" s="15"/>
      <c r="E7" s="6"/>
      <c r="I7" s="6"/>
      <c r="J7" s="1">
        <v>4</v>
      </c>
      <c r="K7" s="6"/>
      <c r="L7" s="6"/>
      <c r="M7" s="6"/>
      <c r="N7" s="10"/>
    </row>
    <row r="8" spans="1:14" hidden="1" x14ac:dyDescent="0.2">
      <c r="A8" s="48" t="s">
        <v>31</v>
      </c>
      <c r="B8" s="50" t="str">
        <f>+Datos!Y29</f>
        <v>NO</v>
      </c>
      <c r="C8" s="49">
        <f>IF(B8="si",7242,0)</f>
        <v>0</v>
      </c>
      <c r="D8" s="15"/>
      <c r="E8" s="6"/>
      <c r="I8" s="6"/>
      <c r="J8" s="1">
        <v>5</v>
      </c>
      <c r="K8" s="6"/>
      <c r="L8" s="6"/>
      <c r="M8" s="6"/>
      <c r="N8" s="10"/>
    </row>
    <row r="9" spans="1:14" ht="5.25" hidden="1" customHeight="1" x14ac:dyDescent="0.2">
      <c r="A9" s="15"/>
      <c r="B9" s="15"/>
      <c r="C9" s="15"/>
      <c r="D9" s="15"/>
      <c r="E9" s="6"/>
      <c r="I9" s="6"/>
      <c r="J9" s="1">
        <v>6</v>
      </c>
      <c r="K9" s="6"/>
      <c r="L9" s="6"/>
      <c r="M9" s="6"/>
      <c r="N9" s="10"/>
    </row>
    <row r="10" spans="1:14" hidden="1" x14ac:dyDescent="0.2">
      <c r="A10" s="522" t="s">
        <v>58</v>
      </c>
      <c r="B10" s="522"/>
      <c r="C10" s="15"/>
      <c r="D10" s="15"/>
      <c r="E10" s="6"/>
      <c r="I10" s="6"/>
      <c r="J10" s="1">
        <v>7</v>
      </c>
      <c r="K10" s="6"/>
      <c r="L10" s="6"/>
      <c r="M10" s="6"/>
      <c r="N10" s="10"/>
    </row>
    <row r="11" spans="1:14" hidden="1" x14ac:dyDescent="0.2">
      <c r="A11" s="48" t="s">
        <v>32</v>
      </c>
      <c r="B11" s="50" t="str">
        <f>+Datos!Y33</f>
        <v>NO</v>
      </c>
      <c r="C11" s="15"/>
      <c r="D11" s="15"/>
      <c r="E11" s="6"/>
      <c r="I11" s="6"/>
      <c r="J11" s="1">
        <v>8</v>
      </c>
      <c r="K11" s="6"/>
      <c r="L11" s="6"/>
    </row>
    <row r="12" spans="1:14" hidden="1" x14ac:dyDescent="0.2">
      <c r="A12" s="48" t="s">
        <v>33</v>
      </c>
      <c r="B12" s="12">
        <v>0</v>
      </c>
      <c r="C12" s="49">
        <f>IF(B11="NO",IF(B12=1,2400,IF(B12=2,2400+2700,IF(B12=3,2400+2700+4000,IF(B12&gt;3,2400+2700+4000+((B12-3)*4500),0))))/2,IF(B12=1,2400,IF(B12=2,2400+2700,IF(B12=3,2400+2700+4000,IF(B12&gt;3,2400+2700+4000+((B12-3)*4500),0)))))</f>
        <v>0</v>
      </c>
      <c r="D12" s="15"/>
      <c r="E12" s="51"/>
      <c r="I12" s="6"/>
      <c r="K12" s="6"/>
      <c r="L12" s="6"/>
    </row>
    <row r="13" spans="1:14" hidden="1" x14ac:dyDescent="0.2">
      <c r="A13" s="48" t="s">
        <v>34</v>
      </c>
      <c r="B13" s="12">
        <f>+Datos!Y37</f>
        <v>0</v>
      </c>
      <c r="C13" s="49">
        <f>IF(B11="NO",+B13*2800/2,+B13*2800)</f>
        <v>0</v>
      </c>
      <c r="D13" s="15"/>
      <c r="E13" s="51"/>
      <c r="I13" s="6"/>
      <c r="K13" s="6"/>
      <c r="L13" s="6"/>
    </row>
    <row r="14" spans="1:14" hidden="1" x14ac:dyDescent="0.2">
      <c r="A14" s="55" t="s">
        <v>35</v>
      </c>
      <c r="B14" s="12">
        <f>+Datos!Y39</f>
        <v>0</v>
      </c>
      <c r="C14" s="49">
        <f>IF(B11="NO",(B14*2316*1.29)/2,(B14*2316*1.29))</f>
        <v>0</v>
      </c>
      <c r="D14" s="15"/>
      <c r="E14" s="51"/>
      <c r="I14" s="6"/>
      <c r="K14" s="6"/>
      <c r="L14" s="6"/>
    </row>
    <row r="15" spans="1:14" hidden="1" x14ac:dyDescent="0.2">
      <c r="A15" s="55" t="s">
        <v>36</v>
      </c>
      <c r="B15" s="12">
        <f>+Datos!Y41</f>
        <v>0</v>
      </c>
      <c r="C15" s="49">
        <f>IF(B11="NO",(B15*7038*1.29)/2,(B15*7038*1.29))</f>
        <v>0</v>
      </c>
      <c r="D15" s="15"/>
      <c r="E15" s="51"/>
      <c r="I15" s="6"/>
      <c r="K15" s="6"/>
      <c r="L15" s="6"/>
    </row>
    <row r="16" spans="1:14" ht="4.5" hidden="1" customHeight="1" x14ac:dyDescent="0.2">
      <c r="A16" s="16"/>
      <c r="B16" s="16"/>
      <c r="C16" s="16"/>
      <c r="D16" s="15"/>
      <c r="E16" s="51"/>
      <c r="I16" s="6"/>
      <c r="K16" s="6"/>
      <c r="L16" s="6"/>
    </row>
    <row r="17" spans="1:12" hidden="1" x14ac:dyDescent="0.2">
      <c r="A17" s="522" t="s">
        <v>59</v>
      </c>
      <c r="B17" s="522"/>
      <c r="C17" s="16"/>
      <c r="D17" s="15"/>
      <c r="E17" s="51"/>
      <c r="I17" s="6"/>
      <c r="K17" s="6"/>
      <c r="L17" s="6"/>
    </row>
    <row r="18" spans="1:12" hidden="1" x14ac:dyDescent="0.2">
      <c r="A18" s="8" t="s">
        <v>61</v>
      </c>
      <c r="B18" s="12">
        <f>+Datos!Y46</f>
        <v>1</v>
      </c>
      <c r="C18" s="16"/>
      <c r="D18" s="15"/>
      <c r="E18" s="51"/>
      <c r="I18" s="6"/>
      <c r="K18" s="6"/>
      <c r="L18" s="6"/>
    </row>
    <row r="19" spans="1:12" hidden="1" x14ac:dyDescent="0.2">
      <c r="A19" s="48" t="s">
        <v>37</v>
      </c>
      <c r="B19" s="12">
        <f>+Datos!Y48</f>
        <v>0</v>
      </c>
      <c r="C19" s="521">
        <f>((+B19*1150)+(B20*(1150+1400)))/B18</f>
        <v>0</v>
      </c>
      <c r="D19" s="15"/>
      <c r="E19" s="51"/>
      <c r="I19" s="6"/>
      <c r="K19" s="6"/>
      <c r="L19" s="6"/>
    </row>
    <row r="20" spans="1:12" hidden="1" x14ac:dyDescent="0.2">
      <c r="A20" s="48" t="s">
        <v>38</v>
      </c>
      <c r="B20" s="12">
        <f>+Datos!Y50</f>
        <v>0</v>
      </c>
      <c r="C20" s="521"/>
      <c r="D20" s="15"/>
      <c r="E20" s="51"/>
      <c r="I20" s="6"/>
      <c r="K20" s="6"/>
      <c r="L20" s="6"/>
    </row>
    <row r="21" spans="1:12" hidden="1" x14ac:dyDescent="0.2">
      <c r="A21" s="55" t="s">
        <v>39</v>
      </c>
      <c r="B21" s="12">
        <f>+Datos!Y52</f>
        <v>0</v>
      </c>
      <c r="C21" s="17">
        <f>(B21*3000)/B18</f>
        <v>0</v>
      </c>
      <c r="D21" s="15"/>
      <c r="E21" s="51"/>
      <c r="I21" s="6"/>
      <c r="K21" s="6"/>
      <c r="L21" s="6"/>
    </row>
    <row r="22" spans="1:12" hidden="1" x14ac:dyDescent="0.2">
      <c r="A22" s="55" t="s">
        <v>40</v>
      </c>
      <c r="B22" s="12">
        <f>+Datos!Y54</f>
        <v>0</v>
      </c>
      <c r="C22" s="17">
        <f>+(B22*9000)/B18</f>
        <v>0</v>
      </c>
      <c r="D22" s="15"/>
      <c r="E22" s="51"/>
      <c r="I22" s="6"/>
      <c r="K22" s="6"/>
      <c r="L22" s="6"/>
    </row>
    <row r="23" spans="1:12" hidden="1" x14ac:dyDescent="0.2">
      <c r="A23" s="15"/>
      <c r="B23" s="15"/>
      <c r="C23" s="15"/>
      <c r="D23" s="15"/>
      <c r="E23" s="51"/>
      <c r="I23" s="6"/>
      <c r="K23" s="6"/>
      <c r="L23" s="6"/>
    </row>
    <row r="24" spans="1:12" hidden="1" x14ac:dyDescent="0.2">
      <c r="A24" s="522" t="s">
        <v>47</v>
      </c>
      <c r="B24" s="522"/>
      <c r="C24" s="15"/>
      <c r="D24" s="15"/>
      <c r="E24" s="51"/>
      <c r="I24" s="6"/>
      <c r="J24" s="1">
        <v>8</v>
      </c>
      <c r="K24" s="6"/>
      <c r="L24" s="6"/>
    </row>
    <row r="25" spans="1:12" hidden="1" x14ac:dyDescent="0.2">
      <c r="A25" s="69" t="s">
        <v>29</v>
      </c>
      <c r="B25" s="5">
        <f>+Retribuciones!T33</f>
        <v>45705.1</v>
      </c>
      <c r="C25" s="15"/>
      <c r="D25" s="15"/>
      <c r="E25" s="51"/>
      <c r="I25" s="6"/>
      <c r="K25" s="6"/>
      <c r="L25" s="6"/>
    </row>
    <row r="26" spans="1:12" hidden="1" x14ac:dyDescent="0.2">
      <c r="A26" s="15"/>
      <c r="B26" s="15"/>
      <c r="C26" s="15"/>
      <c r="D26" s="15"/>
      <c r="E26" s="51"/>
    </row>
    <row r="27" spans="1:12" hidden="1" x14ac:dyDescent="0.2">
      <c r="A27" s="522" t="s">
        <v>49</v>
      </c>
      <c r="B27" s="522"/>
      <c r="C27" s="15"/>
      <c r="D27" s="15"/>
      <c r="E27" s="51"/>
    </row>
    <row r="28" spans="1:12" hidden="1" x14ac:dyDescent="0.2">
      <c r="A28" s="47" t="s">
        <v>46</v>
      </c>
      <c r="B28" s="18">
        <v>2000</v>
      </c>
      <c r="C28" s="15"/>
      <c r="D28" s="15"/>
      <c r="E28" s="51"/>
    </row>
    <row r="29" spans="1:12" hidden="1" x14ac:dyDescent="0.2">
      <c r="A29" s="47" t="s">
        <v>95</v>
      </c>
      <c r="B29" s="18">
        <f>+Retribuciones!T43</f>
        <v>2957.12</v>
      </c>
      <c r="C29" s="15"/>
      <c r="D29" s="15"/>
      <c r="E29" s="51"/>
    </row>
    <row r="30" spans="1:12" hidden="1" x14ac:dyDescent="0.2">
      <c r="A30" s="48" t="s">
        <v>41</v>
      </c>
      <c r="B30" s="17"/>
      <c r="C30" s="15"/>
      <c r="D30" s="15"/>
      <c r="E30" s="51"/>
    </row>
    <row r="31" spans="1:12" hidden="1" x14ac:dyDescent="0.2">
      <c r="A31" s="48" t="s">
        <v>31</v>
      </c>
      <c r="B31" s="17"/>
      <c r="C31" s="15"/>
      <c r="D31" s="15"/>
      <c r="E31" s="51"/>
    </row>
    <row r="32" spans="1:12" hidden="1" x14ac:dyDescent="0.2">
      <c r="A32" s="55" t="s">
        <v>60</v>
      </c>
      <c r="B32" s="18">
        <f>IF(B12&gt;2,600,0)</f>
        <v>0</v>
      </c>
      <c r="C32" s="15"/>
      <c r="D32" s="15"/>
      <c r="E32" s="51"/>
    </row>
    <row r="33" spans="1:5" hidden="1" x14ac:dyDescent="0.2">
      <c r="A33" s="47"/>
      <c r="B33" s="18"/>
      <c r="C33" s="15"/>
      <c r="D33" s="15"/>
      <c r="E33" s="51"/>
    </row>
    <row r="34" spans="1:5" hidden="1" x14ac:dyDescent="0.2">
      <c r="A34" s="11" t="s">
        <v>48</v>
      </c>
      <c r="B34" s="18">
        <f>+B25-B29-B28-B30-B31-B32-B33</f>
        <v>40747.979999999996</v>
      </c>
      <c r="C34" s="5">
        <f>SUM(C5:C33)</f>
        <v>5550</v>
      </c>
      <c r="D34" s="15"/>
      <c r="E34" s="51"/>
    </row>
    <row r="35" spans="1:5" hidden="1" x14ac:dyDescent="0.2">
      <c r="A35" s="11" t="s">
        <v>50</v>
      </c>
      <c r="B35" s="18">
        <f>IF(B34&lt;12450.0000001,B34*19%,IF(AND(B34&gt;12450.000001,B34&lt;20200.0000001),((B34-12450)*24%)+2362.5,IF(AND(B34&gt;20200.000001,B34&lt;35200.0000001),((B34-20200)*30%)+4225.5,IF(AND(B34&gt;35200.000001,B34&lt;60000.0000001),((B34-35200)*37%)+8725.5,IF(B34&gt;60000.000001,((B34-60000)*45%)+17901.5,0)))))</f>
        <v>10778.252599999998</v>
      </c>
      <c r="C35" s="5">
        <f>IF(C34&lt;12450.0000001,C34*19%,IF(AND(C34&gt;12450.000001,C34&lt;20200.0000001),((C34-12450)*24%)+2365.5,IF(AND(C34&gt;20200.000001,C34&lt;35200.0000001),((C34-20200)*30%)+4225.5,IF(AND(C34&gt;35200.000001,C34&lt;60000.0000001),((C34-35200)*37%)+8725.5,IF(C34&gt;60000.000001,((C34-60000)*45%)+17901.5,0)))))</f>
        <v>1054.5</v>
      </c>
      <c r="D35" s="15"/>
      <c r="E35" s="51"/>
    </row>
    <row r="36" spans="1:5" hidden="1" x14ac:dyDescent="0.2">
      <c r="A36" s="11" t="s">
        <v>51</v>
      </c>
      <c r="B36" s="18">
        <f>+B35-C35</f>
        <v>9723.752599999998</v>
      </c>
      <c r="C36" s="15"/>
      <c r="D36" s="15"/>
      <c r="E36" s="51"/>
    </row>
    <row r="37" spans="1:5" hidden="1" x14ac:dyDescent="0.2">
      <c r="A37" s="11" t="s">
        <v>52</v>
      </c>
      <c r="B37" s="74">
        <f>+B36/B25</f>
        <v>0.21274983754548177</v>
      </c>
      <c r="C37" s="15"/>
      <c r="D37" s="15"/>
      <c r="E37" s="51"/>
    </row>
    <row r="38" spans="1:5" hidden="1" x14ac:dyDescent="0.2">
      <c r="A38" s="15"/>
      <c r="B38" s="15"/>
      <c r="C38" s="15"/>
      <c r="D38" s="15"/>
      <c r="E38" s="51"/>
    </row>
    <row r="39" spans="1:5" hidden="1" x14ac:dyDescent="0.2">
      <c r="E39" s="51"/>
    </row>
    <row r="40" spans="1:5" hidden="1" x14ac:dyDescent="0.2">
      <c r="E40" s="76"/>
    </row>
  </sheetData>
  <sheetProtection algorithmName="SHA-512" hashValue="hisLXR613+Mx0XbZpYvm+6v2f325fb/IpmsqYYk7p54qqce1kaDnqa+827qZukfQjuMCEOtBLOQyD5Z146HMyA==" saltValue="p3I0s7lk2tQoGBgx4sIz/w==" spinCount="100000" sheet="1" objects="1" scenarios="1" selectLockedCells="1"/>
  <mergeCells count="8">
    <mergeCell ref="C19:C20"/>
    <mergeCell ref="A24:B24"/>
    <mergeCell ref="A27:B27"/>
    <mergeCell ref="A4:B4"/>
    <mergeCell ref="A1:C1"/>
    <mergeCell ref="A2:C2"/>
    <mergeCell ref="A10:B10"/>
    <mergeCell ref="A17:B1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E218"/>
  <sheetViews>
    <sheetView tabSelected="1" workbookViewId="0">
      <selection activeCell="T8" sqref="T8"/>
    </sheetView>
    <sheetView workbookViewId="1"/>
  </sheetViews>
  <sheetFormatPr baseColWidth="10" defaultRowHeight="12.75" x14ac:dyDescent="0.2"/>
  <cols>
    <col min="1" max="1" width="3.140625" style="1" customWidth="1"/>
    <col min="2" max="2" width="2.42578125" style="1" customWidth="1"/>
    <col min="3" max="3" width="37.140625" style="1" customWidth="1"/>
    <col min="4" max="4" width="12.28515625" style="1" customWidth="1"/>
    <col min="5" max="5" width="1.7109375" style="1" customWidth="1"/>
    <col min="6" max="6" width="11" style="1" customWidth="1"/>
    <col min="7" max="7" width="1.7109375" style="1" customWidth="1"/>
    <col min="8" max="8" width="11.5703125" style="1" bestFit="1" customWidth="1"/>
    <col min="9" max="9" width="1.7109375" style="1" customWidth="1"/>
    <col min="10" max="10" width="11.28515625" style="1" customWidth="1"/>
    <col min="11" max="11" width="1.7109375" style="1" customWidth="1"/>
    <col min="12" max="12" width="11.42578125" style="1" customWidth="1"/>
    <col min="13" max="13" width="1.7109375" style="1" customWidth="1"/>
    <col min="14" max="14" width="11.42578125" style="1" customWidth="1"/>
    <col min="15" max="15" width="1" style="1" customWidth="1"/>
    <col min="16" max="16" width="2.85546875" style="1" customWidth="1"/>
    <col min="17" max="17" width="3.7109375" style="1" customWidth="1"/>
    <col min="18" max="18" width="11.42578125" style="1" customWidth="1"/>
    <col min="19" max="16384" width="11.42578125" style="1"/>
  </cols>
  <sheetData>
    <row r="1" spans="1:31" ht="18" x14ac:dyDescent="0.25">
      <c r="A1" s="112"/>
      <c r="B1" s="112"/>
      <c r="C1" s="460" t="s">
        <v>428</v>
      </c>
      <c r="D1" s="460"/>
      <c r="E1" s="460"/>
      <c r="F1" s="460"/>
      <c r="G1" s="460"/>
      <c r="H1" s="460"/>
      <c r="I1" s="460"/>
      <c r="J1" s="460"/>
      <c r="K1" s="460"/>
      <c r="L1" s="460"/>
      <c r="M1" s="460"/>
      <c r="N1" s="460"/>
      <c r="O1" s="460"/>
      <c r="P1" s="111"/>
      <c r="Q1" s="111"/>
      <c r="R1" s="15"/>
      <c r="S1" s="15"/>
      <c r="T1" s="15"/>
      <c r="U1" s="15"/>
      <c r="V1" s="15"/>
      <c r="W1" s="15"/>
      <c r="X1" s="15"/>
      <c r="Y1" s="15"/>
      <c r="AB1" s="15"/>
      <c r="AC1" s="15"/>
      <c r="AD1" s="15"/>
      <c r="AE1" s="15"/>
    </row>
    <row r="2" spans="1:31" ht="18" x14ac:dyDescent="0.25">
      <c r="A2" s="112"/>
      <c r="B2" s="112"/>
      <c r="C2" s="459" t="str">
        <f>CONCATENATE("Estimación de importe pensión de jubilación de Clases pasivas de: ",Datos!E3)</f>
        <v xml:space="preserve">Estimación de importe pensión de jubilación de Clases pasivas de: </v>
      </c>
      <c r="D2" s="459"/>
      <c r="E2" s="459"/>
      <c r="F2" s="459"/>
      <c r="G2" s="459"/>
      <c r="H2" s="459"/>
      <c r="I2" s="459"/>
      <c r="J2" s="459"/>
      <c r="K2" s="459"/>
      <c r="L2" s="459"/>
      <c r="M2" s="459"/>
      <c r="N2" s="459"/>
      <c r="O2" s="459"/>
      <c r="P2" s="111"/>
      <c r="Q2" s="111"/>
      <c r="R2" s="15"/>
      <c r="S2" s="15"/>
      <c r="T2" s="15"/>
      <c r="U2" s="15"/>
      <c r="V2" s="15"/>
      <c r="W2" s="15"/>
      <c r="X2" s="15"/>
      <c r="Y2" s="15"/>
      <c r="AB2" s="15"/>
      <c r="AC2" s="15"/>
      <c r="AD2" s="15"/>
      <c r="AE2" s="15"/>
    </row>
    <row r="3" spans="1:31" ht="18" x14ac:dyDescent="0.25">
      <c r="A3" s="112"/>
      <c r="B3" s="112"/>
      <c r="C3" s="461" t="s">
        <v>432</v>
      </c>
      <c r="D3" s="461"/>
      <c r="E3" s="461"/>
      <c r="F3" s="461"/>
      <c r="G3" s="461"/>
      <c r="H3" s="461"/>
      <c r="I3" s="461"/>
      <c r="J3" s="461"/>
      <c r="K3" s="461"/>
      <c r="L3" s="461"/>
      <c r="M3" s="461"/>
      <c r="N3" s="461"/>
      <c r="O3" s="461"/>
      <c r="P3" s="111"/>
      <c r="Q3" s="112"/>
      <c r="R3" s="15"/>
      <c r="S3" s="15"/>
      <c r="T3" s="15"/>
      <c r="U3" s="15"/>
      <c r="V3" s="15"/>
      <c r="W3" s="15"/>
      <c r="X3" s="15"/>
      <c r="Y3" s="15"/>
      <c r="AB3" s="15"/>
      <c r="AC3" s="15"/>
      <c r="AD3" s="15"/>
      <c r="AE3" s="15"/>
    </row>
    <row r="4" spans="1:31" ht="3" customHeight="1" x14ac:dyDescent="0.25">
      <c r="A4" s="112"/>
      <c r="B4" s="112"/>
      <c r="C4" s="343"/>
      <c r="D4" s="343"/>
      <c r="E4" s="343"/>
      <c r="F4" s="343"/>
      <c r="G4" s="343"/>
      <c r="H4" s="343"/>
      <c r="I4" s="343"/>
      <c r="J4" s="343"/>
      <c r="K4" s="343"/>
      <c r="L4" s="343"/>
      <c r="M4" s="343"/>
      <c r="N4" s="343"/>
      <c r="O4" s="343"/>
      <c r="P4" s="111"/>
      <c r="Q4" s="112"/>
      <c r="R4" s="15"/>
      <c r="S4" s="15"/>
      <c r="T4" s="15"/>
      <c r="U4" s="15"/>
      <c r="V4" s="15"/>
      <c r="W4" s="15"/>
      <c r="X4" s="15"/>
      <c r="Y4" s="15"/>
      <c r="AB4" s="15"/>
      <c r="AC4" s="15"/>
      <c r="AD4" s="15"/>
      <c r="AE4" s="15"/>
    </row>
    <row r="5" spans="1:31" ht="13.5" customHeight="1" x14ac:dyDescent="0.25">
      <c r="A5" s="112"/>
      <c r="B5" s="112"/>
      <c r="C5" s="462" t="s">
        <v>171</v>
      </c>
      <c r="D5" s="462"/>
      <c r="E5" s="462"/>
      <c r="F5" s="462"/>
      <c r="G5" s="462"/>
      <c r="H5" s="462"/>
      <c r="I5" s="462"/>
      <c r="J5" s="462"/>
      <c r="K5" s="462"/>
      <c r="L5" s="462"/>
      <c r="M5" s="462"/>
      <c r="N5" s="462"/>
      <c r="O5" s="462"/>
      <c r="P5" s="111"/>
      <c r="Q5" s="112"/>
      <c r="R5" s="15"/>
      <c r="S5" s="15"/>
      <c r="T5" s="15"/>
      <c r="U5" s="15"/>
      <c r="V5" s="15"/>
      <c r="W5" s="15"/>
      <c r="X5" s="15"/>
      <c r="Y5" s="15"/>
      <c r="AB5" s="15"/>
      <c r="AC5" s="15"/>
      <c r="AD5" s="15"/>
      <c r="AE5" s="15"/>
    </row>
    <row r="6" spans="1:31" ht="4.5" customHeight="1" x14ac:dyDescent="0.2">
      <c r="A6" s="112"/>
      <c r="B6" s="112"/>
      <c r="C6" s="112"/>
      <c r="D6" s="112"/>
      <c r="E6" s="112"/>
      <c r="F6" s="112"/>
      <c r="G6" s="112"/>
      <c r="H6" s="112"/>
      <c r="I6" s="112"/>
      <c r="J6" s="112"/>
      <c r="K6" s="112"/>
      <c r="L6" s="112"/>
      <c r="M6" s="112"/>
      <c r="N6" s="112"/>
      <c r="O6" s="112"/>
      <c r="P6" s="112"/>
      <c r="Q6" s="112"/>
      <c r="R6" s="15"/>
      <c r="S6" s="15"/>
      <c r="T6" s="15"/>
      <c r="U6" s="15"/>
      <c r="V6" s="15"/>
      <c r="W6" s="15"/>
      <c r="X6" s="15"/>
      <c r="Y6" s="15"/>
      <c r="AB6" s="15"/>
      <c r="AC6" s="15"/>
      <c r="AD6" s="15"/>
      <c r="AE6" s="15"/>
    </row>
    <row r="7" spans="1:31" ht="3" customHeight="1" x14ac:dyDescent="0.2">
      <c r="A7" s="112"/>
      <c r="B7" s="113"/>
      <c r="C7" s="113"/>
      <c r="D7" s="113"/>
      <c r="E7" s="113"/>
      <c r="F7" s="113"/>
      <c r="G7" s="113"/>
      <c r="H7" s="113"/>
      <c r="I7" s="113"/>
      <c r="J7" s="113"/>
      <c r="K7" s="113"/>
      <c r="L7" s="113"/>
      <c r="M7" s="113"/>
      <c r="N7" s="113"/>
      <c r="O7" s="113"/>
      <c r="P7" s="113"/>
      <c r="Q7" s="112"/>
      <c r="R7" s="15"/>
      <c r="S7" s="15"/>
      <c r="T7" s="15"/>
      <c r="U7" s="15"/>
      <c r="V7" s="15"/>
      <c r="W7" s="15"/>
      <c r="X7" s="15"/>
      <c r="Y7" s="15"/>
    </row>
    <row r="8" spans="1:31" ht="15" x14ac:dyDescent="0.25">
      <c r="A8" s="112"/>
      <c r="B8" s="113"/>
      <c r="C8" s="114" t="s">
        <v>98</v>
      </c>
      <c r="D8" s="468" t="str">
        <f>+Datos!E12</f>
        <v>Jubilación Anticipada (60 años y 30 años de Servicio)</v>
      </c>
      <c r="E8" s="468"/>
      <c r="F8" s="468"/>
      <c r="G8" s="468"/>
      <c r="H8" s="468"/>
      <c r="I8" s="468"/>
      <c r="J8" s="468"/>
      <c r="K8" s="113"/>
      <c r="L8" s="113"/>
      <c r="M8" s="113"/>
      <c r="N8" s="113"/>
      <c r="O8" s="113"/>
      <c r="P8" s="113"/>
      <c r="Q8" s="112"/>
      <c r="R8" s="15"/>
      <c r="S8" s="15"/>
      <c r="T8" s="15"/>
      <c r="U8" s="15"/>
      <c r="V8" s="15"/>
      <c r="W8" s="15"/>
      <c r="X8" s="15"/>
      <c r="Y8" s="15"/>
    </row>
    <row r="9" spans="1:31" ht="3" customHeight="1" x14ac:dyDescent="0.2">
      <c r="A9" s="112"/>
      <c r="B9" s="113"/>
      <c r="C9" s="115"/>
      <c r="D9" s="116"/>
      <c r="E9" s="113"/>
      <c r="F9" s="113"/>
      <c r="G9" s="113"/>
      <c r="H9" s="113"/>
      <c r="I9" s="113"/>
      <c r="J9" s="113"/>
      <c r="K9" s="113"/>
      <c r="L9" s="113"/>
      <c r="M9" s="113"/>
      <c r="N9" s="113"/>
      <c r="O9" s="113"/>
      <c r="P9" s="113"/>
      <c r="Q9" s="112"/>
      <c r="R9" s="15"/>
      <c r="S9" s="15"/>
      <c r="T9" s="15"/>
      <c r="U9" s="15"/>
      <c r="V9" s="15"/>
      <c r="W9" s="15"/>
      <c r="X9" s="15"/>
      <c r="Y9" s="15"/>
    </row>
    <row r="10" spans="1:31" ht="15" x14ac:dyDescent="0.25">
      <c r="A10" s="112"/>
      <c r="B10" s="113"/>
      <c r="C10" s="114" t="s">
        <v>100</v>
      </c>
      <c r="D10" s="468" t="str">
        <f>+Datos!E14</f>
        <v>597-Maestros</v>
      </c>
      <c r="E10" s="468"/>
      <c r="F10" s="468"/>
      <c r="G10" s="468"/>
      <c r="H10" s="468"/>
      <c r="I10" s="468"/>
      <c r="J10" s="468"/>
      <c r="K10" s="113"/>
      <c r="L10" s="113"/>
      <c r="M10" s="113"/>
      <c r="N10" s="113"/>
      <c r="O10" s="113"/>
      <c r="P10" s="113"/>
      <c r="Q10" s="112"/>
      <c r="R10" s="15"/>
      <c r="S10" s="15"/>
      <c r="T10" s="15"/>
      <c r="U10" s="15"/>
      <c r="V10" s="15"/>
      <c r="W10" s="15"/>
      <c r="X10" s="15"/>
      <c r="Y10" s="15"/>
    </row>
    <row r="11" spans="1:31" ht="3" customHeight="1" x14ac:dyDescent="0.2">
      <c r="A11" s="112"/>
      <c r="B11" s="113"/>
      <c r="C11" s="115"/>
      <c r="D11" s="113"/>
      <c r="E11" s="113"/>
      <c r="F11" s="113"/>
      <c r="G11" s="113"/>
      <c r="H11" s="113"/>
      <c r="I11" s="113"/>
      <c r="J11" s="113"/>
      <c r="K11" s="113"/>
      <c r="L11" s="113"/>
      <c r="M11" s="113"/>
      <c r="N11" s="113"/>
      <c r="O11" s="113"/>
      <c r="P11" s="113"/>
      <c r="Q11" s="112"/>
      <c r="R11" s="15"/>
      <c r="S11" s="15"/>
      <c r="T11" s="15"/>
      <c r="U11" s="15"/>
      <c r="V11" s="15"/>
      <c r="W11" s="15"/>
      <c r="X11" s="15"/>
      <c r="Y11" s="15"/>
    </row>
    <row r="12" spans="1:31" ht="15" x14ac:dyDescent="0.25">
      <c r="A12" s="112"/>
      <c r="B12" s="113"/>
      <c r="C12" s="114" t="s">
        <v>101</v>
      </c>
      <c r="D12" s="465" t="str">
        <f>+Datos!S20</f>
        <v>Isla Capitalina</v>
      </c>
      <c r="E12" s="465"/>
      <c r="F12" s="465"/>
      <c r="G12" s="113"/>
      <c r="H12" s="113"/>
      <c r="I12" s="113"/>
      <c r="J12" s="113"/>
      <c r="K12" s="113"/>
      <c r="L12" s="113"/>
      <c r="M12" s="113"/>
      <c r="N12" s="113"/>
      <c r="O12" s="113"/>
      <c r="P12" s="113"/>
      <c r="Q12" s="112"/>
      <c r="R12" s="15"/>
      <c r="S12" s="15"/>
      <c r="T12" s="15"/>
      <c r="U12" s="15"/>
      <c r="V12" s="15"/>
      <c r="W12" s="158"/>
      <c r="X12" s="158"/>
      <c r="Y12" s="15"/>
    </row>
    <row r="13" spans="1:31" ht="3" customHeight="1" x14ac:dyDescent="0.2">
      <c r="A13" s="112"/>
      <c r="B13" s="113"/>
      <c r="C13" s="115"/>
      <c r="D13" s="113"/>
      <c r="E13" s="113"/>
      <c r="F13" s="113"/>
      <c r="G13" s="113"/>
      <c r="H13" s="113"/>
      <c r="I13" s="113"/>
      <c r="J13" s="113"/>
      <c r="K13" s="113"/>
      <c r="L13" s="113"/>
      <c r="M13" s="113"/>
      <c r="N13" s="113"/>
      <c r="O13" s="113"/>
      <c r="P13" s="113"/>
      <c r="Q13" s="112"/>
      <c r="R13" s="15"/>
      <c r="S13" s="15"/>
      <c r="T13" s="15"/>
      <c r="U13" s="15"/>
      <c r="V13" s="15"/>
      <c r="W13" s="15"/>
      <c r="X13" s="15"/>
      <c r="Y13" s="15"/>
    </row>
    <row r="14" spans="1:31" ht="15" x14ac:dyDescent="0.25">
      <c r="A14" s="112"/>
      <c r="B14" s="113"/>
      <c r="C14" s="114" t="s">
        <v>99</v>
      </c>
      <c r="D14" s="117">
        <f>+Datos!E16</f>
        <v>23812</v>
      </c>
      <c r="E14" s="113"/>
      <c r="F14" s="114" t="s">
        <v>175</v>
      </c>
      <c r="G14" s="113"/>
      <c r="H14" s="113"/>
      <c r="I14" s="113"/>
      <c r="J14" s="117">
        <f>+D14+21915</f>
        <v>45727</v>
      </c>
      <c r="K14" s="113"/>
      <c r="L14" s="113"/>
      <c r="M14" s="113"/>
      <c r="N14" s="113"/>
      <c r="O14" s="113"/>
      <c r="P14" s="113"/>
      <c r="Q14" s="112"/>
      <c r="R14" s="15"/>
      <c r="S14" s="15"/>
      <c r="T14" s="15"/>
      <c r="U14" s="15"/>
      <c r="V14" s="15"/>
      <c r="W14" s="158"/>
      <c r="X14" s="158"/>
      <c r="Y14" s="15"/>
    </row>
    <row r="15" spans="1:31" ht="3" customHeight="1" x14ac:dyDescent="0.25">
      <c r="A15" s="112"/>
      <c r="B15" s="113"/>
      <c r="C15" s="114"/>
      <c r="D15" s="116"/>
      <c r="E15" s="113"/>
      <c r="F15" s="113"/>
      <c r="G15" s="113"/>
      <c r="H15" s="113"/>
      <c r="I15" s="113"/>
      <c r="J15" s="116"/>
      <c r="K15" s="113"/>
      <c r="L15" s="113"/>
      <c r="M15" s="113"/>
      <c r="N15" s="113"/>
      <c r="O15" s="113"/>
      <c r="P15" s="113"/>
      <c r="Q15" s="112"/>
      <c r="R15" s="15"/>
      <c r="S15" s="15"/>
      <c r="T15" s="15"/>
      <c r="U15" s="15"/>
      <c r="V15" s="15"/>
      <c r="W15" s="15"/>
      <c r="X15" s="15"/>
      <c r="Y15" s="15"/>
    </row>
    <row r="16" spans="1:31" ht="15" x14ac:dyDescent="0.25">
      <c r="A16" s="112"/>
      <c r="B16" s="113"/>
      <c r="C16" s="114" t="s">
        <v>128</v>
      </c>
      <c r="D16" s="413">
        <f>+Datos!E18</f>
        <v>45727</v>
      </c>
      <c r="E16" s="113"/>
      <c r="F16" s="114" t="s">
        <v>176</v>
      </c>
      <c r="G16" s="113"/>
      <c r="H16" s="113"/>
      <c r="I16" s="113"/>
      <c r="J16" s="117">
        <f>+D14+23741</f>
        <v>47553</v>
      </c>
      <c r="K16" s="113"/>
      <c r="L16" s="113"/>
      <c r="M16" s="113"/>
      <c r="N16" s="113"/>
      <c r="O16" s="113"/>
      <c r="P16" s="113"/>
      <c r="Q16" s="112"/>
      <c r="R16" s="15"/>
      <c r="S16" s="15"/>
      <c r="T16" s="15"/>
      <c r="U16" s="15"/>
      <c r="V16" s="15"/>
      <c r="W16" s="14"/>
      <c r="X16" s="14"/>
      <c r="Y16" s="15"/>
    </row>
    <row r="17" spans="1:25" ht="3" customHeight="1" x14ac:dyDescent="0.2">
      <c r="A17" s="112"/>
      <c r="B17" s="113"/>
      <c r="C17" s="115"/>
      <c r="D17" s="113"/>
      <c r="E17" s="113"/>
      <c r="F17" s="113"/>
      <c r="G17" s="113"/>
      <c r="H17" s="113"/>
      <c r="I17" s="113"/>
      <c r="J17" s="113"/>
      <c r="K17" s="113"/>
      <c r="L17" s="113"/>
      <c r="M17" s="113"/>
      <c r="N17" s="113"/>
      <c r="O17" s="113"/>
      <c r="P17" s="113"/>
      <c r="Q17" s="112"/>
      <c r="R17" s="15"/>
      <c r="S17" s="15"/>
      <c r="T17" s="15"/>
      <c r="U17" s="15"/>
      <c r="V17" s="15"/>
      <c r="W17" s="15"/>
      <c r="X17" s="15"/>
      <c r="Y17" s="15"/>
    </row>
    <row r="18" spans="1:25" ht="15" x14ac:dyDescent="0.25">
      <c r="A18" s="112"/>
      <c r="B18" s="113"/>
      <c r="C18" s="114" t="s">
        <v>129</v>
      </c>
      <c r="D18" s="465" t="str">
        <f>+Datos!AJ62</f>
        <v>60 años 0 meses 0 días.</v>
      </c>
      <c r="E18" s="465"/>
      <c r="F18" s="465"/>
      <c r="G18" s="113"/>
      <c r="H18" s="464" t="str">
        <f>IF(OR(D8="Incapacidad Total para profesión habitual",D8="Incapacidad Absoluta para toda Profesión"),"",IF(AND(RESULTADO!D16-RESULTADO!D14&lt;23741,D8=Datos!AF68),"NO PUEDE JUBILARSE POR NO TENER 65 AÑOS",IF(D16-D14&lt;21915,"NO PUEDE JUBILARSE POR NO TENER 60 AÑOS","")))</f>
        <v/>
      </c>
      <c r="I18" s="464"/>
      <c r="J18" s="464"/>
      <c r="K18" s="464"/>
      <c r="L18" s="464"/>
      <c r="M18" s="464"/>
      <c r="N18" s="464"/>
      <c r="O18" s="113"/>
      <c r="P18" s="113"/>
      <c r="Q18" s="112"/>
      <c r="R18" s="15"/>
      <c r="S18" s="15"/>
      <c r="T18" s="15"/>
      <c r="U18" s="15"/>
      <c r="V18" s="15"/>
      <c r="W18" s="15"/>
      <c r="X18" s="15"/>
      <c r="Y18" s="15"/>
    </row>
    <row r="19" spans="1:25" ht="3" customHeight="1" x14ac:dyDescent="0.25">
      <c r="A19" s="112"/>
      <c r="B19" s="113"/>
      <c r="C19" s="114"/>
      <c r="D19" s="118"/>
      <c r="E19" s="113"/>
      <c r="F19" s="118"/>
      <c r="G19" s="113"/>
      <c r="H19" s="113"/>
      <c r="I19" s="113"/>
      <c r="J19" s="113"/>
      <c r="K19" s="113"/>
      <c r="L19" s="113"/>
      <c r="M19" s="113"/>
      <c r="N19" s="113"/>
      <c r="O19" s="113"/>
      <c r="P19" s="113"/>
      <c r="Q19" s="112"/>
      <c r="R19" s="15"/>
      <c r="S19" s="15"/>
      <c r="T19" s="15"/>
      <c r="U19" s="15"/>
      <c r="V19" s="15"/>
      <c r="W19" s="15"/>
      <c r="X19" s="15"/>
      <c r="Y19" s="15"/>
    </row>
    <row r="20" spans="1:25" ht="15" x14ac:dyDescent="0.25">
      <c r="A20" s="112"/>
      <c r="B20" s="113"/>
      <c r="C20" s="114" t="s">
        <v>164</v>
      </c>
      <c r="D20" s="466" t="str">
        <f>+'Tiempos de cotización'!H11</f>
        <v>27 años 5 meses 25 días.</v>
      </c>
      <c r="E20" s="466"/>
      <c r="F20" s="466"/>
      <c r="G20" s="113"/>
      <c r="H20" s="124" t="s">
        <v>278</v>
      </c>
      <c r="I20" s="113"/>
      <c r="J20" s="117">
        <f>+Datos!E27</f>
        <v>45310</v>
      </c>
      <c r="K20" s="113"/>
      <c r="L20" s="113"/>
      <c r="M20" s="113"/>
      <c r="N20" s="113"/>
      <c r="O20" s="113"/>
      <c r="P20" s="113"/>
      <c r="Q20" s="112"/>
      <c r="R20" s="15"/>
      <c r="S20" s="15"/>
      <c r="T20" s="15"/>
      <c r="U20" s="15"/>
      <c r="V20" s="15"/>
      <c r="W20" s="15"/>
      <c r="X20" s="15"/>
      <c r="Y20" s="15"/>
    </row>
    <row r="21" spans="1:25" ht="3" customHeight="1" x14ac:dyDescent="0.25">
      <c r="A21" s="112"/>
      <c r="B21" s="113"/>
      <c r="C21" s="114"/>
      <c r="D21" s="113"/>
      <c r="E21" s="113"/>
      <c r="F21" s="113"/>
      <c r="G21" s="113"/>
      <c r="H21" s="113"/>
      <c r="I21" s="113"/>
      <c r="J21" s="113"/>
      <c r="K21" s="113"/>
      <c r="L21" s="113"/>
      <c r="M21" s="113"/>
      <c r="N21" s="113"/>
      <c r="O21" s="113"/>
      <c r="P21" s="113"/>
      <c r="Q21" s="112"/>
      <c r="R21" s="15"/>
      <c r="S21" s="15"/>
      <c r="T21" s="15"/>
      <c r="U21" s="15"/>
      <c r="V21" s="15"/>
      <c r="W21" s="15"/>
      <c r="X21" s="15"/>
      <c r="Y21" s="15"/>
    </row>
    <row r="22" spans="1:25" ht="15" x14ac:dyDescent="0.25">
      <c r="A22" s="112"/>
      <c r="B22" s="113"/>
      <c r="C22" s="114" t="s">
        <v>164</v>
      </c>
      <c r="D22" s="466" t="str">
        <f>+'Tiempos de cotización'!H54</f>
        <v>28 años 7 meses 15 días.</v>
      </c>
      <c r="E22" s="466"/>
      <c r="F22" s="466"/>
      <c r="G22" s="113"/>
      <c r="H22" s="124" t="s">
        <v>208</v>
      </c>
      <c r="I22" s="113"/>
      <c r="J22" s="113"/>
      <c r="K22" s="113"/>
      <c r="L22" s="113"/>
      <c r="M22" s="113"/>
      <c r="N22" s="113"/>
      <c r="O22" s="113"/>
      <c r="P22" s="113"/>
      <c r="Q22" s="112"/>
      <c r="R22" s="15"/>
      <c r="S22" s="15"/>
      <c r="T22" s="15"/>
      <c r="U22" s="15"/>
      <c r="V22" s="15"/>
      <c r="W22" s="15"/>
      <c r="X22" s="15"/>
      <c r="Y22" s="15"/>
    </row>
    <row r="23" spans="1:25" ht="3" customHeight="1" x14ac:dyDescent="0.25">
      <c r="A23" s="112"/>
      <c r="B23" s="113"/>
      <c r="C23" s="114"/>
      <c r="D23" s="113"/>
      <c r="E23" s="113"/>
      <c r="F23" s="113"/>
      <c r="G23" s="113"/>
      <c r="H23" s="113"/>
      <c r="I23" s="113"/>
      <c r="J23" s="113"/>
      <c r="K23" s="113"/>
      <c r="L23" s="113"/>
      <c r="M23" s="113"/>
      <c r="N23" s="113"/>
      <c r="O23" s="113"/>
      <c r="P23" s="113"/>
      <c r="Q23" s="112"/>
      <c r="R23" s="15"/>
      <c r="S23" s="15"/>
      <c r="T23" s="15"/>
      <c r="U23" s="15"/>
      <c r="V23" s="15"/>
      <c r="W23" s="15"/>
      <c r="X23" s="15"/>
      <c r="Y23" s="15"/>
    </row>
    <row r="24" spans="1:25" ht="15" x14ac:dyDescent="0.25">
      <c r="A24" s="112"/>
      <c r="B24" s="113"/>
      <c r="C24" s="114" t="s">
        <v>189</v>
      </c>
      <c r="D24" s="466" t="str">
        <f>+'Tiempos de cotización'!H24</f>
        <v>1 años 0 meses 18 días.</v>
      </c>
      <c r="E24" s="466"/>
      <c r="F24" s="466"/>
      <c r="G24" s="113"/>
      <c r="H24" s="113"/>
      <c r="I24" s="113"/>
      <c r="J24" s="113"/>
      <c r="K24" s="113"/>
      <c r="L24" s="113"/>
      <c r="M24" s="113"/>
      <c r="N24" s="113"/>
      <c r="O24" s="113"/>
      <c r="P24" s="113"/>
      <c r="Q24" s="112"/>
      <c r="R24" s="15"/>
      <c r="S24" s="15"/>
      <c r="T24" s="15"/>
      <c r="U24" s="15"/>
      <c r="V24" s="15"/>
      <c r="W24" s="15"/>
      <c r="X24" s="15"/>
      <c r="Y24" s="15"/>
    </row>
    <row r="25" spans="1:25" ht="3" customHeight="1" x14ac:dyDescent="0.25">
      <c r="A25" s="112"/>
      <c r="B25" s="113"/>
      <c r="C25" s="114"/>
      <c r="D25" s="119"/>
      <c r="E25" s="113"/>
      <c r="F25" s="113"/>
      <c r="G25" s="113"/>
      <c r="H25" s="113"/>
      <c r="I25" s="113"/>
      <c r="J25" s="113"/>
      <c r="K25" s="113"/>
      <c r="L25" s="113"/>
      <c r="M25" s="113"/>
      <c r="N25" s="113"/>
      <c r="O25" s="113"/>
      <c r="P25" s="113"/>
      <c r="Q25" s="112"/>
      <c r="R25" s="15"/>
      <c r="S25" s="15"/>
      <c r="T25" s="15"/>
      <c r="U25" s="15"/>
      <c r="V25" s="15"/>
      <c r="W25" s="15"/>
      <c r="X25" s="15"/>
      <c r="Y25" s="15"/>
    </row>
    <row r="26" spans="1:25" ht="15" x14ac:dyDescent="0.25">
      <c r="A26" s="112"/>
      <c r="B26" s="113"/>
      <c r="C26" s="114" t="s">
        <v>214</v>
      </c>
      <c r="D26" s="466" t="str">
        <f>+'Tiempos de cotización'!H51</f>
        <v>1 años 5 meses 20 días.</v>
      </c>
      <c r="E26" s="466"/>
      <c r="F26" s="466"/>
      <c r="G26" s="113"/>
      <c r="H26" s="474" t="s">
        <v>188</v>
      </c>
      <c r="I26" s="474"/>
      <c r="J26" s="474"/>
      <c r="K26" s="474"/>
      <c r="L26" s="474"/>
      <c r="M26" s="113"/>
      <c r="N26" s="113"/>
      <c r="O26" s="113"/>
      <c r="P26" s="113"/>
      <c r="Q26" s="112"/>
      <c r="R26" s="15"/>
      <c r="S26" s="15"/>
      <c r="T26" s="15"/>
      <c r="U26" s="15"/>
      <c r="V26" s="15"/>
      <c r="W26" s="15"/>
      <c r="X26" s="15"/>
      <c r="Y26" s="15"/>
    </row>
    <row r="27" spans="1:25" ht="3" customHeight="1" x14ac:dyDescent="0.25">
      <c r="A27" s="112"/>
      <c r="B27" s="113"/>
      <c r="C27" s="114"/>
      <c r="D27" s="119"/>
      <c r="E27" s="113"/>
      <c r="F27" s="113"/>
      <c r="G27" s="113"/>
      <c r="H27" s="113"/>
      <c r="I27" s="113"/>
      <c r="J27" s="113"/>
      <c r="K27" s="113"/>
      <c r="L27" s="113"/>
      <c r="M27" s="113"/>
      <c r="N27" s="113"/>
      <c r="O27" s="113"/>
      <c r="P27" s="113"/>
      <c r="Q27" s="112"/>
      <c r="R27" s="15"/>
      <c r="S27" s="15"/>
      <c r="T27" s="15"/>
      <c r="U27" s="15"/>
      <c r="V27" s="15"/>
      <c r="W27" s="15"/>
      <c r="X27" s="15"/>
      <c r="Y27" s="15"/>
    </row>
    <row r="28" spans="1:25" ht="15" x14ac:dyDescent="0.25">
      <c r="A28" s="112"/>
      <c r="B28" s="113"/>
      <c r="C28" s="114" t="s">
        <v>130</v>
      </c>
      <c r="D28" s="467" t="str">
        <f>+'Tiempos de cotización'!H41</f>
        <v>30 años 0 meses 1 días.</v>
      </c>
      <c r="E28" s="467"/>
      <c r="F28" s="467"/>
      <c r="G28" s="113"/>
      <c r="H28" s="113"/>
      <c r="I28" s="113"/>
      <c r="J28" s="113"/>
      <c r="K28" s="113"/>
      <c r="L28" s="113"/>
      <c r="M28" s="113"/>
      <c r="N28" s="113"/>
      <c r="O28" s="113"/>
      <c r="P28" s="113"/>
      <c r="Q28" s="112"/>
      <c r="R28" s="15"/>
      <c r="S28" s="15"/>
      <c r="T28" s="15"/>
      <c r="U28" s="15"/>
      <c r="V28" s="15"/>
      <c r="W28" s="15"/>
      <c r="X28" s="15"/>
      <c r="Y28" s="15"/>
    </row>
    <row r="29" spans="1:25" ht="3" customHeight="1" x14ac:dyDescent="0.25">
      <c r="A29" s="112"/>
      <c r="B29" s="113"/>
      <c r="C29" s="114"/>
      <c r="D29" s="119"/>
      <c r="E29" s="113"/>
      <c r="F29" s="113"/>
      <c r="G29" s="113"/>
      <c r="H29" s="113"/>
      <c r="I29" s="113"/>
      <c r="J29" s="113"/>
      <c r="K29" s="113"/>
      <c r="L29" s="113"/>
      <c r="M29" s="113"/>
      <c r="N29" s="113"/>
      <c r="O29" s="113"/>
      <c r="P29" s="113"/>
      <c r="Q29" s="112"/>
      <c r="R29" s="15"/>
      <c r="S29" s="15"/>
      <c r="T29" s="15"/>
      <c r="U29" s="15"/>
      <c r="V29" s="15"/>
      <c r="W29" s="15"/>
      <c r="X29" s="15"/>
      <c r="Y29" s="15"/>
    </row>
    <row r="30" spans="1:25" ht="15" x14ac:dyDescent="0.25">
      <c r="A30" s="112"/>
      <c r="B30" s="113"/>
      <c r="C30" s="114" t="str">
        <f>IF(Datos!D22="Nº de hijos nacidos","Nº de hijos nacidos","")</f>
        <v/>
      </c>
      <c r="D30" s="44" t="str">
        <f>IF(Datos!D22="Nº de hijos nacidos",Datos!F22,"")</f>
        <v/>
      </c>
      <c r="E30" s="113"/>
      <c r="F30" s="113"/>
      <c r="G30" s="113"/>
      <c r="H30" s="113"/>
      <c r="I30" s="113"/>
      <c r="J30" s="113"/>
      <c r="K30" s="113"/>
      <c r="L30" s="113"/>
      <c r="M30" s="113"/>
      <c r="N30" s="113"/>
      <c r="O30" s="113"/>
      <c r="P30" s="113"/>
      <c r="Q30" s="112"/>
      <c r="R30" s="15"/>
      <c r="S30" s="15"/>
      <c r="T30" s="15"/>
      <c r="U30" s="15"/>
      <c r="V30" s="15"/>
      <c r="W30" s="15"/>
      <c r="X30" s="15"/>
      <c r="Y30" s="15"/>
    </row>
    <row r="31" spans="1:25" ht="3" customHeight="1" x14ac:dyDescent="0.25">
      <c r="A31" s="112"/>
      <c r="B31" s="113"/>
      <c r="C31" s="114"/>
      <c r="D31" s="113"/>
      <c r="E31" s="113"/>
      <c r="F31" s="113"/>
      <c r="G31" s="113"/>
      <c r="H31" s="113"/>
      <c r="I31" s="113"/>
      <c r="J31" s="113"/>
      <c r="K31" s="113"/>
      <c r="L31" s="113"/>
      <c r="M31" s="113"/>
      <c r="N31" s="113"/>
      <c r="O31" s="113"/>
      <c r="P31" s="113"/>
      <c r="Q31" s="112"/>
      <c r="R31" s="15"/>
      <c r="S31" s="15"/>
      <c r="T31" s="15"/>
      <c r="U31" s="15"/>
      <c r="V31" s="15"/>
      <c r="W31" s="15"/>
      <c r="X31" s="15"/>
      <c r="Y31" s="15"/>
    </row>
    <row r="32" spans="1:25" ht="15" x14ac:dyDescent="0.25">
      <c r="A32" s="112"/>
      <c r="B32" s="113"/>
      <c r="C32" s="120" t="s">
        <v>215</v>
      </c>
      <c r="D32" s="121"/>
      <c r="E32" s="121"/>
      <c r="F32" s="121"/>
      <c r="G32" s="121"/>
      <c r="H32" s="113"/>
      <c r="I32" s="113"/>
      <c r="J32" s="113"/>
      <c r="K32" s="113"/>
      <c r="L32" s="113"/>
      <c r="M32" s="113"/>
      <c r="N32" s="113"/>
      <c r="O32" s="113"/>
      <c r="P32" s="113"/>
      <c r="Q32" s="112"/>
      <c r="R32" s="15"/>
      <c r="S32" s="15"/>
      <c r="T32" s="15"/>
      <c r="U32" s="15"/>
      <c r="V32" s="15"/>
      <c r="W32" s="15"/>
      <c r="X32" s="15"/>
      <c r="Y32" s="15"/>
    </row>
    <row r="33" spans="1:25" ht="3" customHeight="1" x14ac:dyDescent="0.2">
      <c r="A33" s="112"/>
      <c r="B33" s="113"/>
      <c r="C33" s="122"/>
      <c r="D33" s="122"/>
      <c r="E33" s="122"/>
      <c r="F33" s="122"/>
      <c r="G33" s="122"/>
      <c r="H33" s="113"/>
      <c r="I33" s="113"/>
      <c r="J33" s="118"/>
      <c r="K33" s="113"/>
      <c r="L33" s="118"/>
      <c r="M33" s="113"/>
      <c r="N33" s="113"/>
      <c r="O33" s="113"/>
      <c r="P33" s="113"/>
      <c r="Q33" s="112"/>
      <c r="R33" s="15"/>
      <c r="S33" s="15"/>
      <c r="T33" s="15"/>
      <c r="U33" s="15"/>
      <c r="V33" s="15"/>
      <c r="W33" s="15"/>
      <c r="X33" s="15"/>
      <c r="Y33" s="15"/>
    </row>
    <row r="34" spans="1:25" ht="15" x14ac:dyDescent="0.25">
      <c r="A34" s="112"/>
      <c r="B34" s="113"/>
      <c r="C34" s="123" t="s">
        <v>210</v>
      </c>
      <c r="D34" s="463" t="str">
        <f>+'Tiempos de cotización'!H16</f>
        <v>1 años 1 meses 22 días.</v>
      </c>
      <c r="E34" s="463"/>
      <c r="F34" s="463"/>
      <c r="G34" s="122"/>
      <c r="H34" s="475" t="s">
        <v>209</v>
      </c>
      <c r="I34" s="475"/>
      <c r="J34" s="475"/>
      <c r="K34" s="475"/>
      <c r="L34" s="475"/>
      <c r="M34" s="475"/>
      <c r="N34" s="475"/>
      <c r="O34" s="475"/>
      <c r="P34" s="475"/>
      <c r="Q34" s="112"/>
      <c r="R34" s="15"/>
      <c r="S34" s="15"/>
      <c r="T34" s="15"/>
      <c r="U34" s="15"/>
      <c r="V34" s="15"/>
      <c r="W34" s="15"/>
      <c r="X34" s="15"/>
      <c r="Y34" s="15"/>
    </row>
    <row r="35" spans="1:25" ht="3" customHeight="1" x14ac:dyDescent="0.2">
      <c r="A35" s="112"/>
      <c r="B35" s="113"/>
      <c r="C35" s="122"/>
      <c r="D35" s="122"/>
      <c r="E35" s="122"/>
      <c r="F35" s="122"/>
      <c r="G35" s="122"/>
      <c r="H35" s="113"/>
      <c r="I35" s="113"/>
      <c r="J35" s="118"/>
      <c r="K35" s="113"/>
      <c r="L35" s="118"/>
      <c r="M35" s="113"/>
      <c r="N35" s="113"/>
      <c r="O35" s="113"/>
      <c r="P35" s="113"/>
      <c r="Q35" s="112"/>
      <c r="R35" s="15"/>
      <c r="S35" s="15"/>
      <c r="T35" s="15"/>
      <c r="U35" s="15"/>
      <c r="V35" s="15"/>
      <c r="W35" s="15"/>
      <c r="X35" s="15"/>
      <c r="Y35" s="15"/>
    </row>
    <row r="36" spans="1:25" ht="15" x14ac:dyDescent="0.25">
      <c r="A36" s="112"/>
      <c r="B36" s="113"/>
      <c r="C36" s="123" t="s">
        <v>160</v>
      </c>
      <c r="D36" s="463" t="str">
        <f>+Datos!AJ64</f>
        <v xml:space="preserve"> </v>
      </c>
      <c r="E36" s="463"/>
      <c r="F36" s="463"/>
      <c r="G36" s="122"/>
      <c r="H36" s="113"/>
      <c r="I36" s="113"/>
      <c r="J36" s="118"/>
      <c r="K36" s="113"/>
      <c r="L36" s="118"/>
      <c r="M36" s="113"/>
      <c r="N36" s="113"/>
      <c r="O36" s="113"/>
      <c r="P36" s="113"/>
      <c r="Q36" s="112"/>
      <c r="R36" s="15"/>
      <c r="S36" s="15"/>
      <c r="T36" s="15"/>
      <c r="U36" s="15"/>
      <c r="V36" s="15"/>
      <c r="W36" s="15"/>
      <c r="X36" s="15"/>
      <c r="Y36" s="15"/>
    </row>
    <row r="37" spans="1:25" ht="3" customHeight="1" x14ac:dyDescent="0.25">
      <c r="A37" s="112"/>
      <c r="B37" s="113"/>
      <c r="C37" s="123"/>
      <c r="D37" s="122"/>
      <c r="E37" s="121"/>
      <c r="F37" s="118"/>
      <c r="G37" s="122"/>
      <c r="H37" s="113"/>
      <c r="I37" s="113"/>
      <c r="J37" s="118"/>
      <c r="K37" s="113"/>
      <c r="L37" s="118"/>
      <c r="M37" s="113"/>
      <c r="N37" s="113"/>
      <c r="O37" s="113"/>
      <c r="P37" s="113"/>
      <c r="Q37" s="112"/>
      <c r="R37" s="15"/>
      <c r="S37" s="15"/>
      <c r="T37" s="15"/>
      <c r="U37" s="15"/>
      <c r="V37" s="15"/>
      <c r="W37" s="15"/>
      <c r="X37" s="15"/>
      <c r="Y37" s="15"/>
    </row>
    <row r="38" spans="1:25" ht="15" x14ac:dyDescent="0.25">
      <c r="A38" s="112"/>
      <c r="B38" s="113"/>
      <c r="C38" s="123" t="s">
        <v>161</v>
      </c>
      <c r="D38" s="463" t="str">
        <f>IF(Datos!L16='Tiempos de cotización'!B27,'Tiempos de cotización'!H33,'Tiempos de cotización'!H34)</f>
        <v>0 años 3 meses 29 días.</v>
      </c>
      <c r="E38" s="463"/>
      <c r="F38" s="463"/>
      <c r="G38" s="122"/>
      <c r="H38" s="124" t="str">
        <f>IF(Datos!X12&gt;0,CONCATENATE("Aumento en el Grupo ",Datos!AH72),"")</f>
        <v>Aumento en el Grupo A2</v>
      </c>
      <c r="I38" s="124"/>
      <c r="J38" s="124"/>
      <c r="K38" s="113"/>
      <c r="L38" s="184"/>
      <c r="M38" s="113"/>
      <c r="N38" s="113"/>
      <c r="O38" s="113"/>
      <c r="P38" s="113"/>
      <c r="Q38" s="112"/>
      <c r="R38" s="15"/>
      <c r="S38" s="15"/>
      <c r="T38" s="15"/>
      <c r="U38" s="15"/>
      <c r="V38" s="15"/>
      <c r="W38" s="15"/>
      <c r="X38" s="15"/>
      <c r="Y38" s="15"/>
    </row>
    <row r="39" spans="1:25" ht="3" customHeight="1" x14ac:dyDescent="0.25">
      <c r="A39" s="112"/>
      <c r="B39" s="113"/>
      <c r="C39" s="123"/>
      <c r="D39" s="122"/>
      <c r="E39" s="121"/>
      <c r="F39" s="118"/>
      <c r="G39" s="122"/>
      <c r="H39" s="113"/>
      <c r="I39" s="113"/>
      <c r="J39" s="118"/>
      <c r="K39" s="113"/>
      <c r="L39" s="118"/>
      <c r="M39" s="113"/>
      <c r="N39" s="113"/>
      <c r="O39" s="113"/>
      <c r="P39" s="113"/>
      <c r="Q39" s="112"/>
      <c r="R39" s="15"/>
      <c r="S39" s="15"/>
      <c r="T39" s="15"/>
      <c r="U39" s="15"/>
      <c r="V39" s="15"/>
      <c r="W39" s="15"/>
      <c r="X39" s="15"/>
      <c r="Y39" s="15"/>
    </row>
    <row r="40" spans="1:25" ht="15" x14ac:dyDescent="0.25">
      <c r="A40" s="112"/>
      <c r="B40" s="113"/>
      <c r="C40" s="123" t="s">
        <v>166</v>
      </c>
      <c r="D40" s="463"/>
      <c r="E40" s="463"/>
      <c r="F40" s="463"/>
      <c r="G40" s="122"/>
      <c r="H40" s="124" t="str">
        <f>IF(Datos!X14&gt;0,CONCATENATE("Aumento en el Grupo ",Datos!AH72),"")</f>
        <v/>
      </c>
      <c r="I40" s="124"/>
      <c r="J40" s="124"/>
      <c r="K40" s="113"/>
      <c r="L40" s="184"/>
      <c r="M40" s="113"/>
      <c r="N40" s="113"/>
      <c r="O40" s="113"/>
      <c r="P40" s="113"/>
      <c r="Q40" s="112"/>
      <c r="R40" s="15"/>
      <c r="S40" s="15"/>
      <c r="T40" s="15"/>
      <c r="U40" s="15"/>
      <c r="V40" s="15"/>
      <c r="W40" s="15"/>
      <c r="X40" s="15"/>
      <c r="Y40" s="15"/>
    </row>
    <row r="41" spans="1:25" ht="3" customHeight="1" x14ac:dyDescent="0.25">
      <c r="A41" s="112"/>
      <c r="B41" s="113"/>
      <c r="C41" s="123"/>
      <c r="D41" s="122"/>
      <c r="E41" s="121"/>
      <c r="F41" s="118"/>
      <c r="G41" s="122"/>
      <c r="H41" s="113"/>
      <c r="I41" s="113"/>
      <c r="J41" s="118"/>
      <c r="K41" s="113"/>
      <c r="L41" s="118"/>
      <c r="M41" s="113"/>
      <c r="N41" s="113"/>
      <c r="O41" s="113"/>
      <c r="P41" s="113"/>
      <c r="Q41" s="112"/>
      <c r="R41" s="15"/>
      <c r="S41" s="15"/>
      <c r="T41" s="15"/>
      <c r="U41" s="15"/>
      <c r="V41" s="15"/>
      <c r="W41" s="15"/>
      <c r="X41" s="15"/>
      <c r="Y41" s="15"/>
    </row>
    <row r="42" spans="1:25" ht="15" x14ac:dyDescent="0.25">
      <c r="A42" s="112"/>
      <c r="B42" s="113"/>
      <c r="C42" s="123" t="s">
        <v>162</v>
      </c>
      <c r="D42" s="463" t="str">
        <f>+'Tiempos de cotización'!H37</f>
        <v xml:space="preserve"> </v>
      </c>
      <c r="E42" s="463"/>
      <c r="F42" s="463"/>
      <c r="G42" s="122"/>
      <c r="H42" s="124" t="str">
        <f>IF(Datos!X16&gt;0,"Aumento en grupo E","")</f>
        <v/>
      </c>
      <c r="I42" s="113"/>
      <c r="J42" s="118"/>
      <c r="K42" s="113"/>
      <c r="L42" s="118"/>
      <c r="M42" s="113"/>
      <c r="N42" s="113"/>
      <c r="O42" s="113"/>
      <c r="P42" s="113"/>
      <c r="Q42" s="112"/>
      <c r="R42" s="15"/>
      <c r="S42" s="15"/>
      <c r="T42" s="15"/>
      <c r="U42" s="15"/>
      <c r="V42" s="15"/>
      <c r="W42" s="15"/>
      <c r="X42" s="15"/>
      <c r="Y42" s="15"/>
    </row>
    <row r="43" spans="1:25" ht="3" customHeight="1" thickBot="1" x14ac:dyDescent="0.3">
      <c r="A43" s="112"/>
      <c r="B43" s="113"/>
      <c r="C43" s="123"/>
      <c r="D43" s="122"/>
      <c r="E43" s="121"/>
      <c r="F43" s="118"/>
      <c r="G43" s="122"/>
      <c r="H43" s="113"/>
      <c r="I43" s="113"/>
      <c r="J43" s="118"/>
      <c r="K43" s="113"/>
      <c r="L43" s="118"/>
      <c r="M43" s="113"/>
      <c r="N43" s="113"/>
      <c r="O43" s="113"/>
      <c r="P43" s="113"/>
      <c r="Q43" s="112"/>
      <c r="R43" s="15"/>
      <c r="S43" s="15"/>
      <c r="T43" s="15"/>
      <c r="U43" s="15"/>
      <c r="V43" s="15"/>
      <c r="W43" s="15"/>
      <c r="X43" s="15"/>
      <c r="Y43" s="15"/>
    </row>
    <row r="44" spans="1:25" ht="38.25" x14ac:dyDescent="0.2">
      <c r="A44" s="112"/>
      <c r="B44" s="113"/>
      <c r="C44" s="125" t="s">
        <v>157</v>
      </c>
      <c r="D44" s="126" t="s">
        <v>153</v>
      </c>
      <c r="E44" s="126"/>
      <c r="F44" s="127" t="s">
        <v>154</v>
      </c>
      <c r="G44" s="128"/>
      <c r="H44" s="127" t="s">
        <v>155</v>
      </c>
      <c r="I44" s="127"/>
      <c r="J44" s="177" t="s">
        <v>169</v>
      </c>
      <c r="K44" s="127"/>
      <c r="L44" s="127" t="s">
        <v>170</v>
      </c>
      <c r="M44" s="129"/>
      <c r="N44" s="127" t="s">
        <v>159</v>
      </c>
      <c r="O44" s="40"/>
      <c r="P44" s="113"/>
      <c r="Q44" s="112"/>
      <c r="R44" s="15"/>
      <c r="S44" s="15"/>
      <c r="T44" s="3"/>
      <c r="U44" s="15"/>
      <c r="V44" s="15"/>
      <c r="W44" s="15"/>
      <c r="X44" s="15"/>
      <c r="Y44" s="15"/>
    </row>
    <row r="45" spans="1:25" ht="3" customHeight="1" x14ac:dyDescent="0.2">
      <c r="A45" s="112"/>
      <c r="B45" s="113"/>
      <c r="C45" s="40"/>
      <c r="D45" s="42"/>
      <c r="E45" s="42"/>
      <c r="F45" s="42"/>
      <c r="G45" s="40"/>
      <c r="H45" s="40"/>
      <c r="I45" s="40"/>
      <c r="J45" s="178"/>
      <c r="K45" s="40"/>
      <c r="L45" s="40"/>
      <c r="M45" s="40"/>
      <c r="N45" s="40"/>
      <c r="O45" s="40"/>
      <c r="P45" s="113"/>
      <c r="Q45" s="112"/>
      <c r="R45" s="15"/>
      <c r="S45" s="15"/>
      <c r="T45" s="2" t="s">
        <v>15</v>
      </c>
      <c r="U45" s="15"/>
      <c r="V45" s="15"/>
      <c r="W45" s="15"/>
      <c r="X45" s="15"/>
      <c r="Y45" s="15"/>
    </row>
    <row r="46" spans="1:25" ht="15.75" x14ac:dyDescent="0.25">
      <c r="A46" s="112"/>
      <c r="B46" s="113"/>
      <c r="C46" s="130" t="s">
        <v>181</v>
      </c>
      <c r="D46" s="131">
        <f>+Importe!E41</f>
        <v>32106.494453000003</v>
      </c>
      <c r="E46" s="132"/>
      <c r="F46" s="131">
        <f>+D46/14</f>
        <v>2293.3210323571429</v>
      </c>
      <c r="G46" s="133"/>
      <c r="H46" s="134">
        <f>IF(D46=0,0,IF(D8=Datos!AF70,0,+IRPFPensión!B37))</f>
        <v>0.18572405482102788</v>
      </c>
      <c r="I46" s="133"/>
      <c r="J46" s="176">
        <f>+F46-(F46*H46)</f>
        <v>1867.3961512214287</v>
      </c>
      <c r="K46" s="133"/>
      <c r="L46" s="131">
        <f>+J46*2</f>
        <v>3734.7923024428574</v>
      </c>
      <c r="M46" s="135"/>
      <c r="N46" s="131">
        <f>+(J46*10)+(L46*2)</f>
        <v>26143.546117099999</v>
      </c>
      <c r="O46" s="135"/>
      <c r="P46" s="113"/>
      <c r="Q46" s="112"/>
      <c r="R46" s="15"/>
      <c r="S46" s="15"/>
      <c r="T46" s="2"/>
      <c r="U46" s="15"/>
      <c r="V46" s="15"/>
      <c r="W46" s="15"/>
      <c r="X46" s="15"/>
      <c r="Y46" s="15"/>
    </row>
    <row r="47" spans="1:25" ht="3" customHeight="1" x14ac:dyDescent="0.2">
      <c r="A47" s="112"/>
      <c r="B47" s="113"/>
      <c r="C47" s="40"/>
      <c r="D47" s="42"/>
      <c r="E47" s="42"/>
      <c r="F47" s="42"/>
      <c r="G47" s="40"/>
      <c r="H47" s="40"/>
      <c r="I47" s="40"/>
      <c r="J47" s="178"/>
      <c r="K47" s="40"/>
      <c r="L47" s="40"/>
      <c r="M47" s="40"/>
      <c r="N47" s="40"/>
      <c r="O47" s="40"/>
      <c r="P47" s="113"/>
      <c r="Q47" s="112"/>
      <c r="R47" s="15"/>
      <c r="S47" s="15"/>
      <c r="T47" s="15" t="s">
        <v>135</v>
      </c>
      <c r="U47" s="15"/>
      <c r="V47" s="15"/>
      <c r="W47" s="15"/>
      <c r="X47" s="15"/>
      <c r="Y47" s="15"/>
    </row>
    <row r="48" spans="1:25" ht="15" x14ac:dyDescent="0.25">
      <c r="A48" s="112"/>
      <c r="B48" s="113"/>
      <c r="C48" s="136" t="str">
        <f>IF(Datos!AH72="A1","    Límite máximo Pensión", "     Pensión máxima. Grupo A2")</f>
        <v xml:space="preserve">     Pensión máxima. Grupo A2</v>
      </c>
      <c r="D48" s="174">
        <f>IF(Datos!AH72="A2",'Haber Regulador'!H41,'Haber Regulador'!I43)</f>
        <v>39283.61</v>
      </c>
      <c r="E48" s="137"/>
      <c r="F48" s="174">
        <f>+D48/14</f>
        <v>2805.9721428571429</v>
      </c>
      <c r="G48" s="138"/>
      <c r="H48" s="175">
        <f>+IRPFPensiónMax!B37</f>
        <v>0.21489714667261994</v>
      </c>
      <c r="I48" s="138"/>
      <c r="J48" s="179">
        <f>+F48-(F48*H48)</f>
        <v>2202.976735714286</v>
      </c>
      <c r="K48" s="138"/>
      <c r="L48" s="174">
        <f>+J48*2</f>
        <v>4405.9534714285719</v>
      </c>
      <c r="M48" s="138"/>
      <c r="N48" s="174">
        <f>+(J48*10)+(L48*2)</f>
        <v>30841.674300000006</v>
      </c>
      <c r="O48" s="40"/>
      <c r="P48" s="113"/>
      <c r="Q48" s="112"/>
      <c r="R48" s="15"/>
      <c r="S48" s="15"/>
      <c r="T48" s="15"/>
      <c r="U48" s="15"/>
      <c r="V48" s="15"/>
      <c r="W48" s="15"/>
      <c r="X48" s="15"/>
      <c r="Y48" s="15"/>
    </row>
    <row r="49" spans="1:25" ht="3" customHeight="1" x14ac:dyDescent="0.2">
      <c r="A49" s="112"/>
      <c r="B49" s="113"/>
      <c r="C49" s="40"/>
      <c r="D49" s="42"/>
      <c r="E49" s="42"/>
      <c r="F49" s="42"/>
      <c r="G49" s="40"/>
      <c r="H49" s="40"/>
      <c r="I49" s="40"/>
      <c r="J49" s="178"/>
      <c r="K49" s="40"/>
      <c r="L49" s="40"/>
      <c r="M49" s="40"/>
      <c r="N49" s="40"/>
      <c r="O49" s="40"/>
      <c r="P49" s="113"/>
      <c r="Q49" s="112"/>
      <c r="R49" s="15"/>
      <c r="S49" s="15"/>
      <c r="T49" s="15"/>
      <c r="U49" s="15"/>
      <c r="V49" s="15"/>
      <c r="W49" s="15"/>
      <c r="X49" s="15"/>
      <c r="Y49" s="15"/>
    </row>
    <row r="50" spans="1:25" ht="15.75" thickBot="1" x14ac:dyDescent="0.3">
      <c r="A50" s="112"/>
      <c r="B50" s="113"/>
      <c r="C50" s="136" t="s">
        <v>182</v>
      </c>
      <c r="D50" s="139">
        <f>+D46-D48</f>
        <v>-7177.1155469999976</v>
      </c>
      <c r="E50" s="139"/>
      <c r="F50" s="139">
        <f>+F46-F48</f>
        <v>-512.65111049999996</v>
      </c>
      <c r="G50" s="139"/>
      <c r="H50" s="140">
        <f>+H46-H48</f>
        <v>-2.9173091851592059E-2</v>
      </c>
      <c r="I50" s="139"/>
      <c r="J50" s="180">
        <f>+J46-J48</f>
        <v>-335.58058449285727</v>
      </c>
      <c r="K50" s="139"/>
      <c r="L50" s="139">
        <f>+L46-L48</f>
        <v>-671.16116898571454</v>
      </c>
      <c r="M50" s="40"/>
      <c r="N50" s="139">
        <f>+(J50*10)+(L50*2)</f>
        <v>-4698.1281829000018</v>
      </c>
      <c r="O50" s="40"/>
      <c r="P50" s="113"/>
      <c r="Q50" s="112"/>
      <c r="R50" s="15"/>
      <c r="S50" s="15"/>
      <c r="T50" s="15"/>
      <c r="U50" s="15"/>
      <c r="V50" s="15"/>
      <c r="W50" s="15"/>
      <c r="X50" s="15"/>
      <c r="Y50" s="15"/>
    </row>
    <row r="51" spans="1:25" ht="3" customHeight="1" x14ac:dyDescent="0.2">
      <c r="A51" s="112"/>
      <c r="B51" s="113"/>
      <c r="C51" s="40"/>
      <c r="D51" s="40"/>
      <c r="E51" s="40"/>
      <c r="F51" s="40"/>
      <c r="G51" s="40"/>
      <c r="H51" s="40"/>
      <c r="I51" s="40"/>
      <c r="J51" s="40"/>
      <c r="K51" s="40"/>
      <c r="L51" s="40"/>
      <c r="M51" s="40"/>
      <c r="N51" s="40"/>
      <c r="O51" s="40"/>
      <c r="P51" s="113"/>
      <c r="Q51" s="112"/>
      <c r="R51" s="15"/>
      <c r="S51" s="15"/>
      <c r="T51" s="15"/>
      <c r="U51" s="15"/>
      <c r="V51" s="15"/>
      <c r="W51" s="15"/>
      <c r="X51" s="15"/>
      <c r="Y51" s="15"/>
    </row>
    <row r="52" spans="1:25" ht="15" x14ac:dyDescent="0.25">
      <c r="A52" s="112"/>
      <c r="B52" s="113"/>
      <c r="C52" s="130" t="s">
        <v>211</v>
      </c>
      <c r="D52" s="344">
        <f>+Retribuciones!T33</f>
        <v>45705.1</v>
      </c>
      <c r="E52" s="345"/>
      <c r="F52" s="344">
        <f>+Retribuciones!T34</f>
        <v>3379.31</v>
      </c>
      <c r="G52" s="346"/>
      <c r="H52" s="347">
        <f>+Retribuciones!T32</f>
        <v>0.23668883778834307</v>
      </c>
      <c r="I52" s="346"/>
      <c r="J52" s="344">
        <f>+Retribuciones!T36</f>
        <v>2445.8850435734744</v>
      </c>
      <c r="K52" s="130"/>
      <c r="L52" s="344">
        <f>+Retribuciones!T38</f>
        <v>4279.1212821326289</v>
      </c>
      <c r="M52" s="346"/>
      <c r="N52" s="344">
        <f>+Retribuciones!T35</f>
        <v>33017.092999999993</v>
      </c>
      <c r="O52" s="40"/>
      <c r="P52" s="113"/>
      <c r="Q52" s="112"/>
      <c r="R52" s="15"/>
      <c r="S52" s="15"/>
      <c r="T52" s="15"/>
      <c r="U52" s="15"/>
      <c r="V52" s="15"/>
      <c r="W52" s="15"/>
      <c r="X52" s="15"/>
      <c r="Y52" s="15"/>
    </row>
    <row r="53" spans="1:25" ht="3" customHeight="1" x14ac:dyDescent="0.2">
      <c r="A53" s="112"/>
      <c r="B53" s="113"/>
      <c r="C53" s="40"/>
      <c r="D53" s="40"/>
      <c r="E53" s="40"/>
      <c r="F53" s="40"/>
      <c r="G53" s="40"/>
      <c r="H53" s="40"/>
      <c r="I53" s="40"/>
      <c r="J53" s="40"/>
      <c r="K53" s="40"/>
      <c r="L53" s="40"/>
      <c r="M53" s="40"/>
      <c r="N53" s="40"/>
      <c r="O53" s="40"/>
      <c r="P53" s="113"/>
      <c r="Q53" s="112"/>
      <c r="R53" s="15"/>
      <c r="S53" s="15"/>
      <c r="T53" s="15"/>
      <c r="U53" s="15"/>
      <c r="V53" s="15"/>
      <c r="W53" s="15"/>
      <c r="X53" s="15"/>
      <c r="Y53" s="15"/>
    </row>
    <row r="54" spans="1:25" ht="15.75" x14ac:dyDescent="0.25">
      <c r="A54" s="112"/>
      <c r="B54" s="113"/>
      <c r="C54" s="136" t="s">
        <v>163</v>
      </c>
      <c r="D54" s="139">
        <f t="shared" ref="D54:F54" si="0">+D46-D52</f>
        <v>-13598.605546999996</v>
      </c>
      <c r="E54" s="139"/>
      <c r="F54" s="139">
        <f t="shared" si="0"/>
        <v>-1085.988967642857</v>
      </c>
      <c r="G54" s="139"/>
      <c r="H54" s="140">
        <f>+H46-H52</f>
        <v>-5.0964782967315186E-2</v>
      </c>
      <c r="I54" s="139"/>
      <c r="J54" s="139">
        <f>+J46-J52</f>
        <v>-578.4888923520457</v>
      </c>
      <c r="K54" s="141"/>
      <c r="L54" s="139">
        <f>+L46-L52</f>
        <v>-544.32897968977159</v>
      </c>
      <c r="M54" s="40"/>
      <c r="N54" s="139">
        <f>+(J54*10)+(L54*2)</f>
        <v>-6873.5468829000001</v>
      </c>
      <c r="O54" s="40"/>
      <c r="P54" s="113"/>
      <c r="Q54" s="112"/>
      <c r="R54" s="15"/>
      <c r="S54" s="15"/>
      <c r="T54" s="15"/>
      <c r="U54" s="15"/>
      <c r="V54" s="15"/>
      <c r="W54" s="15"/>
      <c r="X54" s="15"/>
      <c r="Y54" s="15"/>
    </row>
    <row r="55" spans="1:25" ht="3" customHeight="1" x14ac:dyDescent="0.2">
      <c r="A55" s="112"/>
      <c r="B55" s="113"/>
      <c r="C55" s="40"/>
      <c r="D55" s="42"/>
      <c r="E55" s="42"/>
      <c r="F55" s="42"/>
      <c r="G55" s="40"/>
      <c r="H55" s="40"/>
      <c r="I55" s="40"/>
      <c r="J55" s="40"/>
      <c r="K55" s="40"/>
      <c r="L55" s="40"/>
      <c r="M55" s="40"/>
      <c r="N55" s="40"/>
      <c r="O55" s="40"/>
      <c r="P55" s="113"/>
      <c r="Q55" s="112"/>
      <c r="R55" s="15"/>
      <c r="S55" s="15"/>
      <c r="T55" s="15"/>
      <c r="U55" s="15"/>
      <c r="V55" s="15"/>
      <c r="W55" s="15"/>
      <c r="X55" s="15"/>
      <c r="Y55" s="15"/>
    </row>
    <row r="56" spans="1:25" ht="30.75" customHeight="1" x14ac:dyDescent="0.2">
      <c r="A56" s="112"/>
      <c r="B56" s="113"/>
      <c r="C56" s="399" t="str">
        <f>IF(+Importe!C48&gt;0,+Importe!C48,"")</f>
        <v/>
      </c>
      <c r="D56" s="469" t="str">
        <f>IF(Importe!C48&gt;0,"Incremento anual bruto de la pensión a las mujeres por tener 1 o más hijos y pueden pasa de pensión máxima. Brecha de género","")</f>
        <v/>
      </c>
      <c r="E56" s="470"/>
      <c r="F56" s="470"/>
      <c r="G56" s="470"/>
      <c r="H56" s="470"/>
      <c r="I56" s="470"/>
      <c r="J56" s="470"/>
      <c r="K56" s="470"/>
      <c r="L56" s="470"/>
      <c r="M56" s="470"/>
      <c r="N56" s="471"/>
      <c r="O56" s="268"/>
      <c r="P56" s="113"/>
      <c r="Q56" s="112"/>
      <c r="R56" s="15"/>
      <c r="S56" s="15"/>
      <c r="T56" s="15"/>
      <c r="U56" s="15"/>
      <c r="V56" s="15"/>
      <c r="W56" s="15"/>
      <c r="X56" s="15"/>
      <c r="Y56" s="15"/>
    </row>
    <row r="57" spans="1:25" ht="3" customHeight="1" x14ac:dyDescent="0.2">
      <c r="A57" s="112"/>
      <c r="B57" s="142"/>
      <c r="C57" s="142"/>
      <c r="D57" s="142"/>
      <c r="E57" s="142"/>
      <c r="F57" s="108"/>
      <c r="G57" s="142"/>
      <c r="H57" s="142"/>
      <c r="I57" s="142"/>
      <c r="J57" s="142"/>
      <c r="K57" s="142"/>
      <c r="L57" s="142"/>
      <c r="M57" s="142"/>
      <c r="N57" s="142"/>
      <c r="O57" s="142"/>
      <c r="P57" s="142"/>
      <c r="Q57" s="112"/>
      <c r="R57" s="15"/>
      <c r="S57" s="15"/>
      <c r="T57" s="15"/>
      <c r="U57" s="15"/>
      <c r="V57" s="15"/>
      <c r="W57" s="15"/>
      <c r="X57" s="15"/>
      <c r="Y57" s="15"/>
    </row>
    <row r="58" spans="1:25" ht="3" customHeight="1" x14ac:dyDescent="0.2">
      <c r="A58" s="112"/>
      <c r="B58" s="142"/>
      <c r="C58" s="113"/>
      <c r="D58" s="113"/>
      <c r="E58" s="113"/>
      <c r="F58" s="108"/>
      <c r="G58" s="142"/>
      <c r="H58" s="142"/>
      <c r="I58" s="142"/>
      <c r="J58" s="142"/>
      <c r="K58" s="142"/>
      <c r="L58" s="142"/>
      <c r="M58" s="142"/>
      <c r="N58" s="142"/>
      <c r="O58" s="142"/>
      <c r="P58" s="142"/>
      <c r="Q58" s="112"/>
      <c r="R58" s="15"/>
      <c r="S58" s="15"/>
      <c r="T58" s="15"/>
      <c r="U58" s="15"/>
      <c r="V58" s="15"/>
      <c r="W58" s="15"/>
      <c r="X58" s="15"/>
      <c r="Y58" s="15"/>
    </row>
    <row r="59" spans="1:25" x14ac:dyDescent="0.2">
      <c r="A59" s="112"/>
      <c r="B59" s="142"/>
      <c r="C59" s="109" t="s">
        <v>92</v>
      </c>
      <c r="D59" s="44">
        <f>IF(IF(MONTH(D16)=8,0,INT((D16-(DATE(YEAR(D16)-1,8,31)))/12))&gt;30,IF(MONTH(D16)=8,0,INT((D16-(DATE(YEAR(D16)-1,8,31)))/12))-30,IF(MONTH(D16)=8,0,INT((D16-(DATE(YEAR(D16)-1,8,31)))/12)))</f>
        <v>16</v>
      </c>
      <c r="E59" s="113"/>
      <c r="F59" s="142"/>
      <c r="G59" s="142"/>
      <c r="H59" s="142"/>
      <c r="I59" s="142"/>
      <c r="J59" s="142"/>
      <c r="K59" s="142"/>
      <c r="L59" s="142"/>
      <c r="M59" s="142"/>
      <c r="N59" s="142"/>
      <c r="O59" s="142"/>
      <c r="P59" s="142"/>
      <c r="Q59" s="112"/>
      <c r="R59" s="15"/>
      <c r="S59" s="15"/>
      <c r="T59" s="15"/>
      <c r="U59" s="15"/>
      <c r="V59" s="15"/>
      <c r="W59" s="15"/>
      <c r="X59" s="15"/>
      <c r="Y59" s="15"/>
    </row>
    <row r="60" spans="1:25" ht="3" customHeight="1" x14ac:dyDescent="0.2">
      <c r="A60" s="112"/>
      <c r="B60" s="142"/>
      <c r="C60" s="113"/>
      <c r="D60" s="118"/>
      <c r="E60" s="113"/>
      <c r="F60" s="142"/>
      <c r="G60" s="142"/>
      <c r="H60" s="142"/>
      <c r="I60" s="142"/>
      <c r="J60" s="142"/>
      <c r="K60" s="142"/>
      <c r="L60" s="142"/>
      <c r="M60" s="142"/>
      <c r="N60" s="142"/>
      <c r="O60" s="142"/>
      <c r="P60" s="142"/>
      <c r="Q60" s="112"/>
      <c r="R60" s="15"/>
      <c r="S60" s="15"/>
      <c r="T60" s="15"/>
      <c r="U60" s="15"/>
      <c r="V60" s="15"/>
      <c r="W60" s="15"/>
      <c r="X60" s="15"/>
      <c r="Y60" s="15"/>
    </row>
    <row r="61" spans="1:25" x14ac:dyDescent="0.2">
      <c r="A61" s="112"/>
      <c r="B61" s="142"/>
      <c r="C61" s="110" t="s">
        <v>93</v>
      </c>
      <c r="D61" s="117">
        <f>+D16-D59</f>
        <v>45711</v>
      </c>
      <c r="E61" s="110"/>
      <c r="F61" s="108"/>
      <c r="G61" s="142"/>
      <c r="H61" s="142"/>
      <c r="I61" s="142"/>
      <c r="J61" s="142"/>
      <c r="K61" s="142"/>
      <c r="L61" s="142"/>
      <c r="M61" s="142"/>
      <c r="N61" s="142"/>
      <c r="O61" s="142"/>
      <c r="P61" s="142"/>
      <c r="Q61" s="112"/>
      <c r="R61" s="15"/>
      <c r="S61" s="15"/>
      <c r="T61" s="15"/>
      <c r="U61" s="15"/>
      <c r="V61" s="15"/>
      <c r="W61" s="15"/>
      <c r="X61" s="15"/>
      <c r="Y61" s="15"/>
    </row>
    <row r="62" spans="1:25" ht="3" customHeight="1" x14ac:dyDescent="0.2">
      <c r="A62" s="112"/>
      <c r="B62" s="142"/>
      <c r="C62" s="113"/>
      <c r="D62" s="118"/>
      <c r="E62" s="113"/>
      <c r="F62" s="142"/>
      <c r="G62" s="142"/>
      <c r="H62" s="142"/>
      <c r="I62" s="142"/>
      <c r="J62" s="142"/>
      <c r="K62" s="142"/>
      <c r="L62" s="142"/>
      <c r="M62" s="142"/>
      <c r="N62" s="142"/>
      <c r="O62" s="142"/>
      <c r="P62" s="142"/>
      <c r="Q62" s="112"/>
      <c r="R62" s="15"/>
      <c r="S62" s="15"/>
      <c r="T62" s="15"/>
      <c r="U62" s="15"/>
      <c r="V62" s="15"/>
      <c r="W62" s="15"/>
      <c r="X62" s="15"/>
      <c r="Y62" s="15"/>
    </row>
    <row r="63" spans="1:25" ht="3" customHeight="1" x14ac:dyDescent="0.2">
      <c r="A63" s="112"/>
      <c r="B63" s="142"/>
      <c r="C63" s="142"/>
      <c r="D63" s="143"/>
      <c r="E63" s="142"/>
      <c r="F63" s="142"/>
      <c r="G63" s="142"/>
      <c r="H63" s="142"/>
      <c r="I63" s="142"/>
      <c r="J63" s="142"/>
      <c r="K63" s="142"/>
      <c r="L63" s="142"/>
      <c r="M63" s="142"/>
      <c r="N63" s="142"/>
      <c r="O63" s="142"/>
      <c r="P63" s="142"/>
      <c r="Q63" s="112"/>
      <c r="R63" s="15"/>
      <c r="S63" s="15"/>
      <c r="T63" s="15"/>
      <c r="U63" s="15"/>
      <c r="V63" s="15"/>
      <c r="W63" s="15"/>
      <c r="X63" s="15"/>
      <c r="Y63" s="15"/>
    </row>
    <row r="64" spans="1:25" ht="3" customHeight="1" x14ac:dyDescent="0.2">
      <c r="A64" s="112"/>
      <c r="B64" s="142"/>
      <c r="C64" s="144"/>
      <c r="D64" s="145"/>
      <c r="E64" s="144"/>
      <c r="F64" s="144"/>
      <c r="G64" s="144"/>
      <c r="H64" s="144"/>
      <c r="I64" s="144"/>
      <c r="J64" s="142"/>
      <c r="K64" s="142"/>
      <c r="L64" s="142"/>
      <c r="M64" s="142"/>
      <c r="N64" s="142"/>
      <c r="O64" s="142"/>
      <c r="P64" s="142"/>
      <c r="Q64" s="112"/>
      <c r="R64" s="15"/>
      <c r="S64" s="15"/>
      <c r="T64" s="15"/>
      <c r="U64" s="15"/>
      <c r="V64" s="15"/>
      <c r="W64" s="15"/>
      <c r="X64" s="15"/>
      <c r="Y64" s="15"/>
    </row>
    <row r="65" spans="1:26" x14ac:dyDescent="0.2">
      <c r="A65" s="112"/>
      <c r="B65" s="142"/>
      <c r="C65" s="146" t="s">
        <v>172</v>
      </c>
      <c r="D65" s="146"/>
      <c r="E65" s="144"/>
      <c r="F65" s="473" t="s">
        <v>173</v>
      </c>
      <c r="G65" s="473"/>
      <c r="H65" s="473"/>
      <c r="I65" s="144"/>
      <c r="J65" s="142"/>
      <c r="K65" s="142"/>
      <c r="L65" s="142"/>
      <c r="M65" s="142"/>
      <c r="N65" s="142"/>
      <c r="O65" s="142"/>
      <c r="P65" s="142"/>
      <c r="Q65" s="112"/>
      <c r="R65" s="15"/>
      <c r="S65" s="15"/>
      <c r="T65" s="15"/>
      <c r="U65" s="15"/>
      <c r="V65" s="15"/>
      <c r="W65" s="15"/>
      <c r="X65" s="15"/>
      <c r="Y65" s="15"/>
    </row>
    <row r="66" spans="1:26" ht="3" customHeight="1" x14ac:dyDescent="0.2">
      <c r="A66" s="112"/>
      <c r="B66" s="142"/>
      <c r="C66" s="144"/>
      <c r="D66" s="144"/>
      <c r="E66" s="144"/>
      <c r="F66" s="144"/>
      <c r="G66" s="144"/>
      <c r="H66" s="147"/>
      <c r="I66" s="144"/>
      <c r="J66" s="142"/>
      <c r="K66" s="142"/>
      <c r="L66" s="142"/>
      <c r="M66" s="142"/>
      <c r="N66" s="142"/>
      <c r="O66" s="142"/>
      <c r="P66" s="142"/>
      <c r="Q66" s="112"/>
      <c r="R66" s="15"/>
      <c r="S66" s="15"/>
      <c r="T66" s="15"/>
      <c r="U66" s="15"/>
      <c r="V66" s="15"/>
      <c r="W66" s="15"/>
      <c r="X66" s="15"/>
      <c r="Y66" s="15"/>
    </row>
    <row r="67" spans="1:26" x14ac:dyDescent="0.2">
      <c r="A67" s="112"/>
      <c r="B67" s="142"/>
      <c r="C67" s="146" t="str">
        <f>IF(OR(D8=Datos!AF69,D8=Datos!AF70,D8=Datos!AF68),"Indemnización de MUFACE por Jubilación forzosa o por Incapacidad","")</f>
        <v/>
      </c>
      <c r="D67" s="144"/>
      <c r="E67" s="144"/>
      <c r="F67" s="144"/>
      <c r="G67" s="144"/>
      <c r="H67" s="16" t="str">
        <f>IF(D8=Datos!AF67,"",IF(D10=Datos!AF72,(Retribuciones!T40)/2,IF(D10=Datos!AF73,(Retribuciones!T40)/2,IF(D10=Datos!AF74,(Retribuciones!T40)/2,IF(D10=Datos!AF75,(Retribuciones!T40)/2,IF(D10=Datos!AF76,(Retribuciones!T40)/2,IF(D10=Datos!AF77,(Retribuciones!T40)/2,IF(D10=Datos!AF78,(Retribuciones!T40)/2,IF(D10=Datos!AF79,(Retribuciones!T40)/2,IF(D10=Datos!AF80,(Retribuciones!T40)/2,IF(D10=Datos!AF81,(Retribuciones!T40)/2,0)))))))))))</f>
        <v/>
      </c>
      <c r="I67" s="144"/>
      <c r="J67" s="142"/>
      <c r="K67" s="142"/>
      <c r="L67" s="142"/>
      <c r="M67" s="142"/>
      <c r="N67" s="142"/>
      <c r="O67" s="142"/>
      <c r="P67" s="142"/>
      <c r="Q67" s="112"/>
      <c r="R67" s="15"/>
      <c r="S67" s="15"/>
      <c r="T67" s="15"/>
      <c r="U67" s="15"/>
      <c r="V67" s="15"/>
      <c r="W67" s="15"/>
      <c r="X67" s="15"/>
      <c r="Y67" s="15"/>
    </row>
    <row r="68" spans="1:26" ht="3" customHeight="1" x14ac:dyDescent="0.2">
      <c r="A68" s="112"/>
      <c r="B68" s="142"/>
      <c r="C68" s="144"/>
      <c r="D68" s="144"/>
      <c r="E68" s="144"/>
      <c r="F68" s="144"/>
      <c r="G68" s="144"/>
      <c r="H68" s="144"/>
      <c r="I68" s="144"/>
      <c r="J68" s="142"/>
      <c r="K68" s="142"/>
      <c r="L68" s="142"/>
      <c r="M68" s="142"/>
      <c r="N68" s="142"/>
      <c r="O68" s="142"/>
      <c r="P68" s="142"/>
      <c r="Q68" s="112"/>
      <c r="R68" s="15"/>
      <c r="S68" s="15"/>
      <c r="T68" s="15"/>
      <c r="U68" s="15"/>
      <c r="V68" s="15"/>
      <c r="W68" s="15"/>
      <c r="X68" s="15"/>
      <c r="Y68" s="15"/>
    </row>
    <row r="69" spans="1:26" x14ac:dyDescent="0.2">
      <c r="A69" s="112"/>
      <c r="B69" s="142"/>
      <c r="C69" s="146" t="str">
        <f>IF(OR(D8=Datos!AF69,D8=Datos!AF70),"Indemnización por Incapacidad o Fallecimiento. Hay que solicitarla","")</f>
        <v/>
      </c>
      <c r="D69" s="144"/>
      <c r="E69" s="144"/>
      <c r="F69" s="144"/>
      <c r="G69" s="144"/>
      <c r="H69" s="16" t="str">
        <f>IF(OR(D8=Datos!AF69,D8=Datos!AF70),6010.12,"")</f>
        <v/>
      </c>
      <c r="I69" s="144"/>
      <c r="J69" s="472" t="str">
        <f>IF(OR(D8=Datos!AF69,D8=Datos!AF70),"Información de la indemnización","")</f>
        <v/>
      </c>
      <c r="K69" s="472"/>
      <c r="L69" s="472"/>
      <c r="M69" s="472"/>
      <c r="N69" s="472"/>
      <c r="O69" s="142"/>
      <c r="P69" s="142"/>
      <c r="Q69" s="112"/>
      <c r="R69" s="15"/>
      <c r="S69" s="15"/>
      <c r="T69" s="15"/>
      <c r="U69" s="15"/>
      <c r="V69" s="15"/>
      <c r="W69" s="15"/>
      <c r="X69" s="15"/>
      <c r="Y69" s="15"/>
    </row>
    <row r="70" spans="1:26" ht="3" customHeight="1" x14ac:dyDescent="0.2">
      <c r="A70" s="112"/>
      <c r="B70" s="142"/>
      <c r="C70" s="144"/>
      <c r="D70" s="144"/>
      <c r="E70" s="144"/>
      <c r="F70" s="144"/>
      <c r="G70" s="144"/>
      <c r="H70" s="144"/>
      <c r="I70" s="144"/>
      <c r="J70" s="142"/>
      <c r="K70" s="142"/>
      <c r="L70" s="142"/>
      <c r="M70" s="142"/>
      <c r="N70" s="142"/>
      <c r="O70" s="142"/>
      <c r="P70" s="142"/>
      <c r="Q70" s="112"/>
      <c r="R70" s="15"/>
      <c r="S70" s="15"/>
      <c r="T70" s="15"/>
      <c r="U70" s="15"/>
      <c r="V70" s="15"/>
      <c r="W70" s="15"/>
      <c r="X70" s="15"/>
      <c r="Y70" s="15"/>
    </row>
    <row r="71" spans="1:26" ht="3" customHeight="1" x14ac:dyDescent="0.2">
      <c r="A71" s="112"/>
      <c r="B71" s="142"/>
      <c r="C71" s="142"/>
      <c r="D71" s="142"/>
      <c r="E71" s="142"/>
      <c r="F71" s="142"/>
      <c r="G71" s="142"/>
      <c r="H71" s="142"/>
      <c r="I71" s="142"/>
      <c r="J71" s="142"/>
      <c r="K71" s="142"/>
      <c r="L71" s="142"/>
      <c r="M71" s="142"/>
      <c r="N71" s="142"/>
      <c r="O71" s="142"/>
      <c r="P71" s="142"/>
      <c r="Q71" s="112"/>
      <c r="R71" s="15"/>
      <c r="S71" s="15"/>
      <c r="T71" s="15"/>
      <c r="U71" s="15"/>
      <c r="V71" s="15"/>
      <c r="W71" s="15"/>
      <c r="X71" s="15"/>
      <c r="Y71" s="15"/>
    </row>
    <row r="72" spans="1:26" x14ac:dyDescent="0.2">
      <c r="A72" s="112"/>
      <c r="B72" s="112"/>
      <c r="C72" s="112"/>
      <c r="D72" s="112"/>
      <c r="E72" s="112"/>
      <c r="F72" s="112"/>
      <c r="G72" s="112"/>
      <c r="H72" s="112"/>
      <c r="I72" s="112"/>
      <c r="J72" s="112"/>
      <c r="K72" s="112"/>
      <c r="L72" s="112"/>
      <c r="M72" s="112"/>
      <c r="N72" s="112"/>
      <c r="O72" s="112"/>
      <c r="P72" s="112"/>
      <c r="Q72" s="112"/>
      <c r="R72" s="15"/>
      <c r="S72" s="15"/>
      <c r="T72" s="15"/>
      <c r="U72" s="15"/>
      <c r="V72" s="15"/>
      <c r="W72" s="15"/>
      <c r="X72" s="15"/>
      <c r="Y72" s="15"/>
    </row>
    <row r="73" spans="1:26" x14ac:dyDescent="0.2">
      <c r="A73" s="112"/>
      <c r="B73" s="112"/>
      <c r="C73" s="112"/>
      <c r="D73" s="112"/>
      <c r="E73" s="112"/>
      <c r="F73" s="112"/>
      <c r="G73" s="112"/>
      <c r="H73" s="112"/>
      <c r="I73" s="112"/>
      <c r="J73" s="112"/>
      <c r="K73" s="112"/>
      <c r="L73" s="112"/>
      <c r="M73" s="112"/>
      <c r="N73" s="296">
        <v>45727</v>
      </c>
      <c r="O73" s="112"/>
      <c r="P73" s="112"/>
      <c r="Q73" s="112"/>
      <c r="R73" s="15"/>
      <c r="S73" s="15"/>
      <c r="T73" s="15"/>
      <c r="U73" s="15"/>
      <c r="V73" s="15"/>
      <c r="W73" s="15"/>
      <c r="X73" s="15"/>
      <c r="Y73" s="15"/>
    </row>
    <row r="74" spans="1:26" x14ac:dyDescent="0.2">
      <c r="A74" s="112"/>
      <c r="B74" s="112"/>
      <c r="C74" s="112"/>
      <c r="D74" s="112"/>
      <c r="E74" s="112"/>
      <c r="F74" s="112"/>
      <c r="G74" s="112"/>
      <c r="H74" s="112"/>
      <c r="I74" s="112"/>
      <c r="J74" s="112"/>
      <c r="K74" s="112"/>
      <c r="L74" s="112"/>
      <c r="M74" s="112"/>
      <c r="N74" s="112"/>
      <c r="O74" s="112"/>
      <c r="P74" s="112"/>
      <c r="Q74" s="112"/>
      <c r="R74" s="15"/>
      <c r="S74" s="15"/>
      <c r="T74" s="15"/>
      <c r="U74" s="15"/>
      <c r="V74" s="15"/>
      <c r="W74" s="15"/>
      <c r="X74" s="15"/>
      <c r="Y74" s="15"/>
    </row>
    <row r="75" spans="1:26" x14ac:dyDescent="0.2">
      <c r="A75" s="112"/>
      <c r="B75" s="112"/>
      <c r="C75" s="112"/>
      <c r="D75" s="112"/>
      <c r="E75" s="112"/>
      <c r="F75" s="112"/>
      <c r="G75" s="112"/>
      <c r="H75" s="112"/>
      <c r="I75" s="112"/>
      <c r="J75" s="112"/>
      <c r="K75" s="112"/>
      <c r="L75" s="112"/>
      <c r="M75" s="112"/>
      <c r="N75" s="112"/>
      <c r="O75" s="112"/>
      <c r="P75" s="112"/>
      <c r="Q75" s="112"/>
      <c r="R75" s="15"/>
      <c r="S75" s="15"/>
      <c r="T75" s="15"/>
      <c r="U75" s="15"/>
      <c r="V75" s="15"/>
      <c r="W75" s="15"/>
      <c r="X75" s="15"/>
      <c r="Y75" s="15"/>
    </row>
    <row r="76" spans="1:26" x14ac:dyDescent="0.2">
      <c r="A76" s="112"/>
      <c r="B76" s="112"/>
      <c r="C76" s="112"/>
      <c r="D76" s="112"/>
      <c r="E76" s="112"/>
      <c r="F76" s="112"/>
      <c r="G76" s="112"/>
      <c r="H76" s="112"/>
      <c r="I76" s="112"/>
      <c r="J76" s="112"/>
      <c r="K76" s="112"/>
      <c r="L76" s="112"/>
      <c r="M76" s="112"/>
      <c r="N76" s="112"/>
      <c r="O76" s="112"/>
      <c r="P76" s="112"/>
      <c r="Q76" s="112"/>
      <c r="R76" s="15"/>
      <c r="S76" s="15"/>
      <c r="T76" s="15"/>
      <c r="U76" s="15"/>
      <c r="V76" s="15"/>
      <c r="W76" s="15"/>
      <c r="X76" s="15"/>
      <c r="Y76" s="15"/>
    </row>
    <row r="77" spans="1:26" x14ac:dyDescent="0.2">
      <c r="A77" s="112"/>
      <c r="B77" s="112"/>
      <c r="C77" s="112"/>
      <c r="D77" s="112"/>
      <c r="E77" s="112"/>
      <c r="F77" s="112"/>
      <c r="G77" s="112"/>
      <c r="H77" s="112"/>
      <c r="I77" s="112"/>
      <c r="J77" s="112"/>
      <c r="K77" s="112"/>
      <c r="L77" s="112"/>
      <c r="M77" s="112"/>
      <c r="N77" s="112"/>
      <c r="O77" s="112"/>
      <c r="P77" s="112"/>
      <c r="Q77" s="112"/>
      <c r="R77" s="15"/>
      <c r="S77" s="15"/>
      <c r="T77" s="15"/>
      <c r="U77" s="15"/>
      <c r="V77" s="15"/>
      <c r="W77" s="15"/>
      <c r="X77" s="15"/>
      <c r="Y77" s="15"/>
    </row>
    <row r="78" spans="1:26" x14ac:dyDescent="0.2">
      <c r="A78" s="15"/>
      <c r="B78" s="112"/>
      <c r="C78" s="112"/>
      <c r="D78" s="112"/>
      <c r="E78" s="112"/>
      <c r="F78" s="112"/>
      <c r="G78" s="112"/>
      <c r="H78" s="112"/>
      <c r="I78" s="112"/>
      <c r="J78" s="112"/>
      <c r="K78" s="112"/>
      <c r="L78" s="112"/>
      <c r="M78" s="112"/>
      <c r="N78" s="112"/>
      <c r="O78" s="112"/>
      <c r="P78" s="112"/>
      <c r="Q78" s="112"/>
      <c r="R78" s="15"/>
      <c r="S78" s="15"/>
      <c r="T78" s="15"/>
      <c r="U78" s="15"/>
      <c r="V78" s="15"/>
      <c r="W78" s="15"/>
      <c r="X78" s="15"/>
      <c r="Y78" s="15"/>
      <c r="Z78" s="15"/>
    </row>
    <row r="79" spans="1:26"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x14ac:dyDescent="0.2">
      <c r="B218" s="15"/>
      <c r="C218" s="15"/>
      <c r="D218" s="15"/>
      <c r="E218" s="15"/>
      <c r="F218" s="15"/>
      <c r="G218" s="15"/>
      <c r="H218" s="15"/>
      <c r="I218" s="15"/>
      <c r="J218" s="15"/>
      <c r="K218" s="15"/>
      <c r="L218" s="15"/>
      <c r="M218" s="15"/>
      <c r="N218" s="15"/>
      <c r="O218" s="15"/>
      <c r="P218" s="15"/>
      <c r="Q218" s="15"/>
    </row>
  </sheetData>
  <sheetProtection algorithmName="SHA-512" hashValue="/efDYb3dbdK8OX01pdLJJ0kxy289briN9livd2C0pDB4DlDamilAGBhHIHeWs15KZ+oITb10GnFYN2KrTC5CnA==" saltValue="hOVB3+/j0bOOUJ/gtKXP9w==" spinCount="100000" sheet="1" objects="1" scenarios="1"/>
  <mergeCells count="24">
    <mergeCell ref="D56:N56"/>
    <mergeCell ref="J69:N69"/>
    <mergeCell ref="F65:H65"/>
    <mergeCell ref="D42:F42"/>
    <mergeCell ref="H26:L26"/>
    <mergeCell ref="D26:F26"/>
    <mergeCell ref="H34:P34"/>
    <mergeCell ref="D40:F40"/>
    <mergeCell ref="D36:F36"/>
    <mergeCell ref="H18:N18"/>
    <mergeCell ref="D18:F18"/>
    <mergeCell ref="D20:F20"/>
    <mergeCell ref="D24:F24"/>
    <mergeCell ref="D28:F28"/>
    <mergeCell ref="D22:F22"/>
    <mergeCell ref="D34:F34"/>
    <mergeCell ref="C2:O2"/>
    <mergeCell ref="C1:O1"/>
    <mergeCell ref="C3:O3"/>
    <mergeCell ref="C5:O5"/>
    <mergeCell ref="D38:F38"/>
    <mergeCell ref="D8:J8"/>
    <mergeCell ref="D10:J10"/>
    <mergeCell ref="D12:F12"/>
  </mergeCells>
  <hyperlinks>
    <hyperlink ref="J69:N69" r:id="rId1" display="http://www.gobiernodecanarias.org/cpj/dgfp/empleados_publicos/polizas/documentacion_lugares_contacto.pdf" xr:uid="{00000000-0004-0000-0100-000000000000}"/>
    <hyperlink ref="F65:H65" r:id="rId2" display="Información" xr:uid="{00000000-0004-0000-0100-000001000000}"/>
    <hyperlink ref="H26:L26" location="'Tiempos de cotización'!A1" display="Ver pestaña &quot;Tiempos cotizados&quot;" xr:uid="{00000000-0004-0000-0100-000002000000}"/>
  </hyperlinks>
  <pageMargins left="0.70866141732283472" right="0.70866141732283472" top="0.27559055118110237" bottom="0.27559055118110237" header="0.31496062992125984" footer="0.31496062992125984"/>
  <pageSetup paperSize="9" scale="22" orientation="landscape"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H67"/>
  <sheetViews>
    <sheetView workbookViewId="0">
      <selection activeCell="J1" sqref="J1:AH1048576"/>
    </sheetView>
    <sheetView workbookViewId="1"/>
  </sheetViews>
  <sheetFormatPr baseColWidth="10" defaultRowHeight="12.95" customHeight="1" x14ac:dyDescent="0.2"/>
  <cols>
    <col min="1" max="1" width="4.42578125" style="3" customWidth="1"/>
    <col min="2" max="2" width="3.42578125" style="3" customWidth="1"/>
    <col min="3" max="3" width="91" style="3" bestFit="1" customWidth="1"/>
    <col min="4" max="4" width="5.42578125" style="3" customWidth="1"/>
    <col min="5" max="5" width="6.5703125" style="3" customWidth="1"/>
    <col min="6" max="6" width="4.85546875" style="3" customWidth="1"/>
    <col min="7" max="7" width="6.5703125" style="3" bestFit="1" customWidth="1"/>
    <col min="8" max="8" width="21.7109375" style="3" bestFit="1" customWidth="1"/>
    <col min="9" max="9" width="2.5703125" style="3" customWidth="1"/>
    <col min="10" max="10" width="3" style="3" hidden="1" customWidth="1"/>
    <col min="11" max="11" width="9.5703125" style="3" hidden="1" customWidth="1"/>
    <col min="12" max="12" width="14" style="3" hidden="1" customWidth="1"/>
    <col min="13" max="13" width="15" style="3" hidden="1" customWidth="1"/>
    <col min="14" max="14" width="23" style="3" hidden="1" customWidth="1"/>
    <col min="15" max="15" width="19.85546875" style="3" hidden="1" customWidth="1"/>
    <col min="16" max="16" width="11.42578125" style="3" hidden="1" customWidth="1"/>
    <col min="17" max="17" width="4.5703125" style="3" hidden="1" customWidth="1"/>
    <col min="18" max="18" width="3" style="3" hidden="1" customWidth="1"/>
    <col min="19" max="19" width="5.7109375" style="3" hidden="1" customWidth="1"/>
    <col min="20" max="22" width="3" style="3" hidden="1" customWidth="1"/>
    <col min="23" max="23" width="6.85546875" style="3" hidden="1" customWidth="1"/>
    <col min="24" max="24" width="3" style="3" hidden="1" customWidth="1"/>
    <col min="25" max="25" width="9.140625" style="3" hidden="1" customWidth="1"/>
    <col min="26" max="26" width="7.85546875" style="3" hidden="1" customWidth="1"/>
    <col min="27" max="27" width="6.28515625" style="3" hidden="1" customWidth="1"/>
    <col min="28" max="28" width="10.42578125" style="3" hidden="1" customWidth="1"/>
    <col min="29" max="29" width="6.28515625" style="3" hidden="1" customWidth="1"/>
    <col min="30" max="34" width="11.42578125" style="3" hidden="1" customWidth="1"/>
    <col min="35" max="36" width="11.42578125" style="3" customWidth="1"/>
    <col min="37" max="37" width="11.5703125" style="3" customWidth="1"/>
    <col min="38" max="41" width="11.42578125" style="3" customWidth="1"/>
    <col min="42" max="16384" width="11.42578125" style="3"/>
  </cols>
  <sheetData>
    <row r="1" spans="2:33" ht="15.75" customHeight="1" x14ac:dyDescent="0.2">
      <c r="B1" s="2"/>
      <c r="C1" s="476" t="s">
        <v>433</v>
      </c>
      <c r="D1" s="477"/>
      <c r="E1" s="477"/>
      <c r="F1" s="477"/>
      <c r="G1" s="477"/>
      <c r="H1" s="477"/>
      <c r="K1" s="481" t="s">
        <v>216</v>
      </c>
      <c r="L1" s="481"/>
    </row>
    <row r="2" spans="2:33" ht="17.25" x14ac:dyDescent="0.25">
      <c r="B2" s="2"/>
      <c r="C2" s="478" t="s">
        <v>28</v>
      </c>
      <c r="D2" s="478"/>
      <c r="E2" s="478"/>
      <c r="F2" s="478"/>
      <c r="G2" s="478"/>
      <c r="H2" s="478"/>
      <c r="K2" s="481"/>
      <c r="L2" s="481"/>
    </row>
    <row r="3" spans="2:33" ht="18" x14ac:dyDescent="0.25">
      <c r="B3" s="2"/>
      <c r="C3" s="479" t="s">
        <v>429</v>
      </c>
      <c r="D3" s="480"/>
      <c r="E3" s="480"/>
      <c r="F3" s="480"/>
      <c r="G3" s="480"/>
      <c r="H3" s="480"/>
      <c r="K3" s="289"/>
      <c r="L3" s="289"/>
      <c r="Q3" s="100"/>
      <c r="R3" s="100"/>
      <c r="S3" s="100"/>
      <c r="T3" s="100"/>
      <c r="U3" s="100"/>
      <c r="V3" s="100"/>
      <c r="W3" s="100"/>
      <c r="X3" s="100"/>
      <c r="Y3" s="100"/>
      <c r="Z3" s="100"/>
      <c r="AA3" s="100"/>
      <c r="AB3" s="100"/>
      <c r="AC3" s="100"/>
    </row>
    <row r="4" spans="2:33" ht="18" x14ac:dyDescent="0.2">
      <c r="C4" s="84" t="s">
        <v>125</v>
      </c>
      <c r="D4" s="260" t="s">
        <v>6</v>
      </c>
      <c r="E4" s="260" t="s">
        <v>7</v>
      </c>
      <c r="F4" s="260" t="s">
        <v>8</v>
      </c>
      <c r="G4" s="85" t="s">
        <v>8</v>
      </c>
      <c r="H4" s="85" t="s">
        <v>151</v>
      </c>
      <c r="K4" s="172" t="s">
        <v>149</v>
      </c>
      <c r="L4" s="172" t="s">
        <v>150</v>
      </c>
      <c r="Q4" s="100"/>
      <c r="R4" s="100"/>
      <c r="S4" s="100" t="s">
        <v>156</v>
      </c>
      <c r="T4" s="100"/>
      <c r="U4" s="100"/>
      <c r="V4" s="100"/>
      <c r="W4" s="100"/>
      <c r="X4" s="100"/>
      <c r="Y4" s="100"/>
      <c r="Z4" s="100"/>
      <c r="AA4" s="100"/>
      <c r="AB4" s="100"/>
      <c r="AC4" s="100"/>
    </row>
    <row r="5" spans="2:33" ht="12.75" x14ac:dyDescent="0.2">
      <c r="B5" s="3" t="s">
        <v>1</v>
      </c>
      <c r="C5" s="9" t="s">
        <v>27</v>
      </c>
      <c r="D5" s="261">
        <f>+Datos!E31</f>
        <v>0</v>
      </c>
      <c r="E5" s="261">
        <f>+Datos!F31</f>
        <v>0</v>
      </c>
      <c r="F5" s="261">
        <f>+Datos!G31</f>
        <v>0</v>
      </c>
      <c r="G5" s="270">
        <f>INT(+(D5*365.25)+(E5*30.4275)+F5)</f>
        <v>0</v>
      </c>
      <c r="H5" s="35" t="str">
        <f t="shared" ref="H5:H10" si="0">IF(G5&gt;0,CONCATENATE(ROUNDDOWN((G5)/365.25,0)," años ",ROUNDDOWN(((((G5)/365.25)-(ROUNDDOWN((G5)/365.25,0)))*12),0)," meses ",ROUNDUP((((((G5)/365.25)-(ROUNDDOWN((G5)/365.25,0)))*12)-(ROUNDDOWN(((((G5)/365.25)-(ROUNDDOWN((G5)/365.25,0)))*12),0)))*30.4375,0)," días.")," ")</f>
        <v xml:space="preserve"> </v>
      </c>
      <c r="J5" s="88" t="s">
        <v>1</v>
      </c>
      <c r="K5" s="170">
        <f>ROUNDDOWN(((G10+G9+G8+G7+G6+G5)/365.25)/3,0)-K10-K9-K8-K7-K6</f>
        <v>0</v>
      </c>
      <c r="L5" s="170">
        <f>ROUNDDOWN((+((G5+G15+G6+G14)/365.25)/6),0)</f>
        <v>4</v>
      </c>
      <c r="N5" s="290" t="s">
        <v>221</v>
      </c>
      <c r="Q5" s="100"/>
      <c r="R5" s="36" t="str">
        <f>+B19</f>
        <v>A1</v>
      </c>
      <c r="S5" s="105">
        <f>+G5+G14+AK27+G19+G27+G33</f>
        <v>0</v>
      </c>
      <c r="T5" s="15">
        <f>ROUNDDOWN(S5/365.25,0)</f>
        <v>0</v>
      </c>
      <c r="U5" s="15">
        <f>ROUNDDOWN(((S5/365.25)-T5)*12,0)</f>
        <v>0</v>
      </c>
      <c r="V5" s="15">
        <f>ROUNDDOWN(((((+S5/365.25)-T5)*12)-U5)*30.4375,0)</f>
        <v>0</v>
      </c>
      <c r="W5" s="100">
        <f>IF(S5&gt;0,S5,0)</f>
        <v>0</v>
      </c>
      <c r="X5" s="156">
        <f>INT(W5/365.25)</f>
        <v>0</v>
      </c>
      <c r="Y5" s="106">
        <f>+'Haber Regulador'!E5</f>
        <v>49914.06</v>
      </c>
      <c r="Z5" s="100">
        <f>IF(X6&gt;0,Y5-Y6,IF(X7&gt;0,Y5-Y7,IF(X8&gt;0,Y5-Y8,IF(W9&gt;0,Y5-Y9,Y5))))</f>
        <v>10630.449999999997</v>
      </c>
      <c r="AA5" s="102">
        <f>IF($X5=1,1.24%,IF($X5=2,2.55%,IF($X5=3,3.88%,IF($X5=4,5.31%,IF($X5=5,6.83%,IF($X5=6,8.43%,IF($X5=7,10.11%,IF($X5=8,11.88%,IF($X5=9,13.73%,IF($X5=10,15.67%,IF($X5=11,17.71%,IF($X5=12,19.86%,IF($X5=13,22.1%,IF($X5=14,24.45%,IF($X5=15,26.92%,IF($X5=16,30.57%,IF($X5=17,34.23%,IF($X5=18,37.88%,IF($X5=19,41.54%,IF($X5=20,45.19%,IF($X5=21,48.84%,IF($X5=22,52.5%,IF($X5=23,56.15%,IF($X5=24,59.81%,IF($X5=25,63.46%,IF($X5=26,67.11%,IF($X5=27,70.77%,IF($X5=28,74.42%,IF($X5=29,78.08%,IF($X5=30,81.73%,IF($X5=31,85.38%,IF($X5=32,89.04%,IF($X5=33,92.69%,IF($X5=34,96.35%,IF($X5&gt;34,100%,0)))))))))))))))))))))))))))))))))))</f>
        <v>0</v>
      </c>
      <c r="AB5" s="36">
        <f>+Z5*AA5</f>
        <v>0</v>
      </c>
      <c r="AC5" s="100"/>
    </row>
    <row r="6" spans="2:33" ht="12.75" x14ac:dyDescent="0.2">
      <c r="B6" s="3" t="s">
        <v>2</v>
      </c>
      <c r="C6" s="19" t="s">
        <v>26</v>
      </c>
      <c r="D6" s="261">
        <f>+Datos!E33</f>
        <v>27</v>
      </c>
      <c r="E6" s="261">
        <f>+Datos!F33</f>
        <v>5</v>
      </c>
      <c r="F6" s="261">
        <f>+Datos!G33</f>
        <v>25</v>
      </c>
      <c r="G6" s="270">
        <f t="shared" ref="G6:G10" si="1">INT(+(D6*365.25)+(E6*30.4275)+F6)</f>
        <v>10038</v>
      </c>
      <c r="H6" s="35" t="str">
        <f t="shared" si="0"/>
        <v>27 años 5 meses 25 días.</v>
      </c>
      <c r="J6" s="88" t="s">
        <v>2</v>
      </c>
      <c r="K6" s="170">
        <f>ROUNDDOWN(((G10+G9+G8+G7+G6)/365.25)/3,0)-K10-K9-K8-K7</f>
        <v>9</v>
      </c>
      <c r="M6" s="173" t="s">
        <v>222</v>
      </c>
      <c r="N6" s="35" t="str">
        <f>IF(O6&gt;0,CONCATENATE(ROUNDDOWN((O6)/365.25,0)," años ",ROUNDDOWN(((((O6)/365.25)-(ROUNDDOWN((O6)/365.25,0)))*12),0)," meses ",ROUNDUP((((((O6)/365.25)-(ROUNDDOWN((O6)/365.25,0)))*12)-(ROUNDDOWN(((((O6)/365.25)-(ROUNDDOWN((O6)/365.25,0)))*12),0)))*30.4375,0)," días.")," ")</f>
        <v>0 años 5 meses 25 días.</v>
      </c>
      <c r="O6" s="88">
        <f>G11-(K11*365.25*3)</f>
        <v>176.25</v>
      </c>
      <c r="Q6" s="100"/>
      <c r="R6" s="36" t="str">
        <f>+B20</f>
        <v>A2</v>
      </c>
      <c r="S6" s="105">
        <f>+G6+G15+G28+G20+G34</f>
        <v>10958</v>
      </c>
      <c r="T6" s="15">
        <f t="shared" ref="T6:T10" si="2">ROUNDDOWN(S6/365.25,0)</f>
        <v>30</v>
      </c>
      <c r="U6" s="15">
        <f t="shared" ref="U6:U10" si="3">ROUNDDOWN(((S6/365.25)-T6)*12,0)</f>
        <v>0</v>
      </c>
      <c r="V6" s="15">
        <f t="shared" ref="V6:V10" si="4">ROUNDDOWN(((((+S6/365.25)-T6)*12)-U6)*30.4375,0)</f>
        <v>0</v>
      </c>
      <c r="W6" s="100">
        <f>IF(S6&gt;0,S6+S5,0)</f>
        <v>10958</v>
      </c>
      <c r="X6" s="156">
        <f>INT(W6/365.25)</f>
        <v>30</v>
      </c>
      <c r="Y6" s="106">
        <f>+'Haber Regulador'!H5</f>
        <v>39283.61</v>
      </c>
      <c r="Z6" s="100">
        <f>IF(X7&gt;0,Y6-Y7,IF(X8&gt;0,Y6-Y8,IF(X9&gt;0,Y6-Y9,Y6)))</f>
        <v>39283.61</v>
      </c>
      <c r="AA6" s="102">
        <f>IF($X6=1,1.24%,IF($X6=2,2.55%,IF($X6=3,3.88%,IF($X6=4,5.31%,IF($X6=5,6.83%,IF($X6=6,8.43%,IF($X6=7,10.11%,IF($X6=8,11.88%,IF($X6=9,13.73%,IF($X6=10,15.67%,IF($X6=11,17.71%,IF($X6=12,19.86%,IF($X6=13,22.1%,IF($X6=14,24.45%,IF($X6=15,26.92%,IF($X6=16,30.57%,IF($X6=17,34.23%,IF($X6=18,37.88%,IF($X6=19,41.54%,IF($X6=20,45.19%,IF($X6=21,48.84%,IF($X6=22,52.5%,IF($X6=23,56.15%,IF($X6=24,59.81%,IF($X6=25,63.46%,IF($X6=26,67.11%,IF($X6=27,70.77%,IF($X6=28,74.42%,IF($X6=29,78.08%,IF($X6=30,81.73%,IF($X6=31,85.38%,IF($X6=32,89.04%,IF($X6=33,92.69%,IF($X6=34,96.35%,IF($X6&gt;34,100%,0)))))))))))))))))))))))))))))))))))</f>
        <v>0.81730000000000003</v>
      </c>
      <c r="AB6" s="36">
        <f t="shared" ref="AB6:AB8" si="5">+Z6*AA6</f>
        <v>32106.494453000003</v>
      </c>
      <c r="AC6" s="104">
        <f>+IRPFPensiónMax!B37</f>
        <v>0.21489714667261994</v>
      </c>
    </row>
    <row r="7" spans="2:33" ht="12.75" x14ac:dyDescent="0.2">
      <c r="B7" s="3" t="s">
        <v>54</v>
      </c>
      <c r="C7" s="9" t="s">
        <v>25</v>
      </c>
      <c r="D7" s="261">
        <f>+Datos!E35</f>
        <v>0</v>
      </c>
      <c r="E7" s="261">
        <f>+Datos!F35</f>
        <v>0</v>
      </c>
      <c r="F7" s="261">
        <f>+Datos!G35</f>
        <v>0</v>
      </c>
      <c r="G7" s="270"/>
      <c r="H7" s="35" t="str">
        <f t="shared" si="0"/>
        <v xml:space="preserve"> </v>
      </c>
      <c r="J7" s="88" t="s">
        <v>54</v>
      </c>
      <c r="K7" s="170">
        <f>ROUNDDOWN(((G10+G9+G8+G7)/365.25)/3,0)-K10-K9-K8</f>
        <v>0</v>
      </c>
      <c r="Q7" s="100"/>
      <c r="R7" s="36" t="str">
        <f>+B21</f>
        <v>C1</v>
      </c>
      <c r="S7" s="105">
        <f>+G8+G21+G35</f>
        <v>0</v>
      </c>
      <c r="T7" s="15">
        <f t="shared" si="2"/>
        <v>0</v>
      </c>
      <c r="U7" s="15">
        <f t="shared" si="3"/>
        <v>0</v>
      </c>
      <c r="V7" s="15">
        <f t="shared" si="4"/>
        <v>0</v>
      </c>
      <c r="W7" s="100">
        <f>IF(S7&gt;0,S7+S6+S5,0)</f>
        <v>0</v>
      </c>
      <c r="X7" s="156">
        <f>INT(W7/365.25)</f>
        <v>0</v>
      </c>
      <c r="Y7" s="106">
        <f>+'Haber Regulador'!N5</f>
        <v>30170.49</v>
      </c>
      <c r="Z7" s="100">
        <f>IF(X8&gt;0,Y7-Y8,IF(X9&gt;0,Y7-Y9,Y7))</f>
        <v>30170.49</v>
      </c>
      <c r="AA7" s="102">
        <f>IF($X7=1,1.24%,IF($X7=2,2.55%,IF($X7=3,3.88%,IF($X7=4,5.31%,IF($X7=5,6.83%,IF($X7=6,8.43%,IF($X7=7,10.11%,IF($X7=8,11.88%,IF($X7=9,13.73%,IF($X7=10,15.67%,IF($X7=11,17.71%,IF($X7=12,19.86%,IF($X7=13,22.1%,IF($X7=14,24.45%,IF($X7=15,26.92%,IF($X7=16,30.57%,IF($X7=17,34.23%,IF($X7=18,37.88%,IF($X7=19,41.54%,IF($X7=20,45.19%,IF($X7=21,48.84%,IF($X7=22,52.5%,IF($X7=23,56.15%,IF($X7=24,59.81%,IF($X7=25,63.46%,IF($X7=26,67.11%,IF($X7=27,70.77%,IF($X7=28,74.42%,IF($X7=29,78.08%,IF($X7=30,81.73%,IF($X7=31,85.38%,IF($X7=32,89.04%,IF($X7=33,92.69%,IF($X7=34,96.35%,IF($X7&gt;34,100%,0)))))))))))))))))))))))))))))))))))</f>
        <v>0</v>
      </c>
      <c r="AB7" s="36">
        <f t="shared" si="5"/>
        <v>0</v>
      </c>
      <c r="AC7" s="100"/>
    </row>
    <row r="8" spans="2:33" ht="12.75" x14ac:dyDescent="0.2">
      <c r="B8" s="3" t="s">
        <v>55</v>
      </c>
      <c r="C8" s="9" t="s">
        <v>24</v>
      </c>
      <c r="D8" s="261">
        <f>+Datos!E37</f>
        <v>0</v>
      </c>
      <c r="E8" s="261">
        <f>+Datos!F37</f>
        <v>0</v>
      </c>
      <c r="F8" s="261">
        <f>+Datos!G37</f>
        <v>0</v>
      </c>
      <c r="G8" s="270">
        <f t="shared" si="1"/>
        <v>0</v>
      </c>
      <c r="H8" s="35" t="str">
        <f t="shared" si="0"/>
        <v xml:space="preserve"> </v>
      </c>
      <c r="J8" s="88" t="s">
        <v>55</v>
      </c>
      <c r="K8" s="170">
        <f>ROUNDDOWN(((+G10+G9+G8)/365.25)/3,0)-K10-K9</f>
        <v>0</v>
      </c>
      <c r="M8" s="173" t="s">
        <v>223</v>
      </c>
      <c r="N8" s="35" t="str">
        <f>IF(O8&gt;0,CONCATENATE(ROUNDDOWN((O8)/365.25,0)," años ",ROUNDDOWN(((((O8)/365.25)-(ROUNDDOWN((O8)/365.25,0)))*12),0)," meses ",ROUNDUP((((((O8)/365.25)-(ROUNDDOWN((O8)/365.25,0)))*12)-(ROUNDDOWN(((((O8)/365.25)-(ROUNDDOWN((O8)/365.25,0)))*12),0)))*30.4375,0)," días.")," ")</f>
        <v>3 años 5 meses 25 días.</v>
      </c>
      <c r="O8" s="88">
        <f>(G5+G6)-(L5*365.25*6)</f>
        <v>1272</v>
      </c>
      <c r="Q8" s="100"/>
      <c r="R8" s="36" t="str">
        <f>+B22</f>
        <v>C2</v>
      </c>
      <c r="S8" s="105">
        <f>+G9+G22+G36</f>
        <v>0</v>
      </c>
      <c r="T8" s="15">
        <f t="shared" si="2"/>
        <v>0</v>
      </c>
      <c r="U8" s="15">
        <f t="shared" si="3"/>
        <v>0</v>
      </c>
      <c r="V8" s="15">
        <f t="shared" si="4"/>
        <v>0</v>
      </c>
      <c r="W8" s="100">
        <f>IF(S8&gt;0,S8+S7+S6+S5,0)</f>
        <v>0</v>
      </c>
      <c r="X8" s="156">
        <f t="shared" ref="X8" si="6">INT(W8/365.25)</f>
        <v>0</v>
      </c>
      <c r="Y8" s="106">
        <f>+'Haber Regulador'!Q5</f>
        <v>23869.85</v>
      </c>
      <c r="Z8" s="100">
        <f>IF(X9&gt;0,Y8-Y9,Y8)</f>
        <v>23869.85</v>
      </c>
      <c r="AA8" s="102">
        <f>IF($X8=1,1.24%,IF($X8=2,2.55%,IF($X8=3,3.88%,IF($X8=4,5.31%,IF($X8=5,6.83%,IF($X8=6,8.43%,IF($X8=7,10.11%,IF($X8=8,11.88%,IF($X8=9,13.73%,IF($X8=10,15.67%,IF($X8=11,17.71%,IF($X8=12,19.86%,IF($X8=13,22.1%,IF($X8=14,24.45%,IF($X8=15,26.92%,IF($X8=16,30.57%,IF($X8=17,34.23%,IF($X8=18,37.88%,IF($X8=19,41.54%,IF($X8=20,45.19%,IF($X8=21,48.84%,IF($X8=22,52.5%,IF($X8=23,56.15%,IF($X8=24,59.81%,IF($X8=25,63.46%,IF($X8=26,67.11%,IF($X8=27,70.77%,IF($X8=28,74.42%,IF($X8=29,78.08%,IF($X8=30,81.73%,IF($X8=31,85.38%,IF($X8=32,89.04%,IF($X8=33,92.69%,IF($X8=34,96.35%,IF($X8&gt;34,100%,0)))))))))))))))))))))))))))))))))))</f>
        <v>0</v>
      </c>
      <c r="AB8" s="36">
        <f t="shared" si="5"/>
        <v>0</v>
      </c>
      <c r="AC8" s="100"/>
    </row>
    <row r="9" spans="2:33" ht="12.75" x14ac:dyDescent="0.2">
      <c r="B9" s="3" t="s">
        <v>56</v>
      </c>
      <c r="C9" s="9" t="s">
        <v>23</v>
      </c>
      <c r="D9" s="261">
        <f>+Datos!E39</f>
        <v>0</v>
      </c>
      <c r="E9" s="261">
        <f>+Datos!F39</f>
        <v>0</v>
      </c>
      <c r="F9" s="261">
        <f>+Datos!G39</f>
        <v>0</v>
      </c>
      <c r="G9" s="270">
        <f t="shared" si="1"/>
        <v>0</v>
      </c>
      <c r="H9" s="35" t="str">
        <f t="shared" si="0"/>
        <v xml:space="preserve"> </v>
      </c>
      <c r="J9" s="88" t="s">
        <v>56</v>
      </c>
      <c r="K9" s="170">
        <f>ROUNDDOWN(((+G10+G9)/365.25)/3,0)-K10</f>
        <v>0</v>
      </c>
      <c r="Q9" s="100"/>
      <c r="R9" s="36" t="str">
        <f>+B23</f>
        <v>E</v>
      </c>
      <c r="S9" s="105">
        <f>+G10+G23+G37</f>
        <v>0</v>
      </c>
      <c r="T9" s="15">
        <f t="shared" si="2"/>
        <v>0</v>
      </c>
      <c r="U9" s="15">
        <f t="shared" si="3"/>
        <v>0</v>
      </c>
      <c r="V9" s="15">
        <f t="shared" si="4"/>
        <v>0</v>
      </c>
      <c r="W9" s="100">
        <f>IF(S9&gt;0,S9+S8+S7+S6+S5,0)</f>
        <v>0</v>
      </c>
      <c r="X9" s="156">
        <f>INT(W9/365.25)</f>
        <v>0</v>
      </c>
      <c r="Y9" s="106">
        <f>+'Haber Regulador'!T5</f>
        <v>20350.96</v>
      </c>
      <c r="Z9" s="103">
        <f>+Y9</f>
        <v>20350.96</v>
      </c>
      <c r="AA9" s="102">
        <f>IF($X9=1,1.24%,IF($X9=2,2.55%,IF($X9=3,3.88%,IF($X9=4,5.31%,IF($X9=5,6.83%,IF($X9=6,8.43%,IF($X9=7,10.11%,IF($X9=8,11.88%,IF($X9=9,13.73%,IF($X9=10,15.67%,IF($X9=11,17.71%,IF($X9=12,19.86%,IF($X9=13,22.1%,IF($X9=14,24.45%,IF($X9=15,26.92%,IF($X9=16,30.57%,IF($X9=17,34.23%,IF($X9=18,37.88%,IF($X9=19,41.54%,IF($X9=20,45.19%,IF($X9=21,48.84%,IF($X9=22,52.5%,IF($X9=23,56.15%,IF($X9=24,59.81%,IF($X9=25,63.46%,IF($X9=26,67.11%,IF($X9=27,70.77%,IF($X9=28,74.42%,IF($X9=29,78.08%,IF($X9=30,81.73%,IF($X9=31,85.38%,IF($X9=32,89.04%,IF($X9=33,92.69%,IF($X9=34,96.35%,IF($X9&gt;34,100%,0)))))))))))))))))))))))))))))))))))</f>
        <v>0</v>
      </c>
      <c r="AB9" s="36">
        <f>+Z9*AA9</f>
        <v>0</v>
      </c>
      <c r="AC9" s="100"/>
    </row>
    <row r="10" spans="2:33" ht="12.75" x14ac:dyDescent="0.2">
      <c r="B10" s="3" t="s">
        <v>57</v>
      </c>
      <c r="C10" s="33" t="s">
        <v>22</v>
      </c>
      <c r="D10" s="261">
        <f>+Datos!E41</f>
        <v>0</v>
      </c>
      <c r="E10" s="261">
        <f>+Datos!F41</f>
        <v>0</v>
      </c>
      <c r="F10" s="261">
        <f>+Datos!G41</f>
        <v>0</v>
      </c>
      <c r="G10" s="270">
        <f t="shared" si="1"/>
        <v>0</v>
      </c>
      <c r="H10" s="35" t="str">
        <f t="shared" si="0"/>
        <v xml:space="preserve"> </v>
      </c>
      <c r="J10" s="88" t="s">
        <v>57</v>
      </c>
      <c r="K10" s="170">
        <f>ROUNDDOWN((+G10/365.25)/3,0)</f>
        <v>0</v>
      </c>
      <c r="M10" s="173" t="s">
        <v>224</v>
      </c>
      <c r="N10" s="35" t="str">
        <f>IF((G41-10958)&gt;0,CONCATENATE(ROUNDDOWN((IF((10958-G41)&lt;0,0,10958-G41))/365.25,0)," años ",ROUNDDOWN(((((IF((10958-G41)&lt;0,0,10958-G41))/365.25)-(ROUNDDOWN((IF((10958-G41)&lt;0,0,10958-G41))/365.25,0)))*12),0)," meses ",ROUNDUP((((((IF((10958-G41)&lt;0,0,10958-G41))/365.25)-(ROUNDDOWN((IF((10958-G41)&lt;0,0,10958-G41))/365.25,0)))*12)-(ROUNDDOWN(((((IF((10958-G41)&lt;0,0,10958-G41))/365.25)-(ROUNDDOWN((IF((10958-G41)&lt;0,0,10958-G41))/365.25,0)))*12),0)))*30.4375,0)," días."),"0 días")</f>
        <v>0 días</v>
      </c>
      <c r="Q10" s="101"/>
      <c r="R10" s="100"/>
      <c r="S10" s="105">
        <f>+G11++G16+G29+G24+G38</f>
        <v>10958</v>
      </c>
      <c r="T10" s="15">
        <f t="shared" si="2"/>
        <v>30</v>
      </c>
      <c r="U10" s="15">
        <f t="shared" si="3"/>
        <v>0</v>
      </c>
      <c r="V10" s="15">
        <f t="shared" si="4"/>
        <v>0</v>
      </c>
      <c r="W10" s="100"/>
      <c r="X10" s="100"/>
      <c r="Y10" s="100"/>
      <c r="Z10" s="100"/>
      <c r="AA10" s="100"/>
      <c r="AB10" s="107">
        <f>ROUND(IF(SUM(AB5:AB9)&gt;Y11,Y11,SUM(AB5:AB9)),2)</f>
        <v>32106.49</v>
      </c>
      <c r="AC10" s="100"/>
    </row>
    <row r="11" spans="2:33" ht="12.75" x14ac:dyDescent="0.2">
      <c r="C11" s="99" t="s">
        <v>90</v>
      </c>
      <c r="G11" s="37">
        <f>SUM(G5:G10)</f>
        <v>10038</v>
      </c>
      <c r="H11" s="35" t="str">
        <f>IF(G11&gt;0,CONCATENATE(ROUNDDOWN((G11)/365.25,0)," años ",ROUNDDOWN(((((G11)/365.25)-(ROUNDDOWN((G11)/365.25,0)))*12),0)," meses ",ROUNDUP((((((G11)/365.25)-(ROUNDDOWN((G11)/365.25,0)))*12)-(ROUNDDOWN(((((G11)/365.25)-(ROUNDDOWN((G11)/365.25,0)))*12),0)))*30.4375,0)," días.")," ")</f>
        <v>27 años 5 meses 25 días.</v>
      </c>
      <c r="K11" s="168">
        <f>SUM(K5:K10)</f>
        <v>9</v>
      </c>
      <c r="L11" s="171" t="s">
        <v>180</v>
      </c>
      <c r="Q11" s="100"/>
      <c r="R11" s="100"/>
      <c r="S11" s="101"/>
      <c r="T11" s="100"/>
      <c r="U11" s="100"/>
      <c r="V11" s="100"/>
      <c r="W11" s="36" t="s">
        <v>158</v>
      </c>
      <c r="X11" s="36"/>
      <c r="Y11" s="106">
        <f>+'Haber Regulador'!I43</f>
        <v>44450.559999999998</v>
      </c>
      <c r="Z11" s="100"/>
      <c r="AA11" s="100"/>
      <c r="AB11" s="100"/>
      <c r="AC11" s="287">
        <f>+IRPFNómina!B37</f>
        <v>0.23668883778834307</v>
      </c>
      <c r="AG11" s="159"/>
    </row>
    <row r="12" spans="2:33" ht="12.75" x14ac:dyDescent="0.2">
      <c r="K12" s="169"/>
      <c r="L12" s="169"/>
      <c r="M12" s="160"/>
      <c r="N12" s="169"/>
      <c r="Q12" s="100"/>
      <c r="R12" s="100"/>
      <c r="S12" s="101"/>
      <c r="T12" s="100"/>
      <c r="U12" s="100"/>
      <c r="V12" s="100"/>
      <c r="W12" s="36"/>
      <c r="X12" s="36"/>
      <c r="Y12" s="163"/>
      <c r="Z12" s="100"/>
      <c r="AA12" s="100"/>
      <c r="AB12" s="100"/>
      <c r="AC12" s="104"/>
      <c r="AG12" s="159"/>
    </row>
    <row r="13" spans="2:33" ht="31.5" x14ac:dyDescent="0.2">
      <c r="C13" s="164" t="s">
        <v>179</v>
      </c>
      <c r="D13" s="164"/>
      <c r="E13" s="164"/>
      <c r="F13" s="164"/>
      <c r="G13" s="165" t="s">
        <v>8</v>
      </c>
      <c r="H13" s="165" t="s">
        <v>151</v>
      </c>
    </row>
    <row r="14" spans="2:33" ht="12.75" x14ac:dyDescent="0.2">
      <c r="B14" s="3" t="s">
        <v>1</v>
      </c>
      <c r="C14" s="166" t="s">
        <v>27</v>
      </c>
      <c r="D14" s="166"/>
      <c r="E14" s="166"/>
      <c r="F14" s="166"/>
      <c r="G14" s="270">
        <f>IF(Datos!L16=Datos!AE76,+Datos!E18-Datos!E27,0)</f>
        <v>0</v>
      </c>
      <c r="H14" s="35" t="str">
        <f t="shared" ref="H14:H15" si="7">IF(G14&gt;0,CONCATENATE(ROUNDDOWN((G14)/365.25,0)," años ",ROUNDDOWN(((((G14)/365.25)-(ROUNDDOWN((G14)/365.25,0)))*12),0)," meses ",ROUNDUP((((((G14)/365.25)-(ROUNDDOWN((G14)/365.25,0)))*12)-(ROUNDDOWN(((((G14)/365.25)-(ROUNDDOWN((G14)/365.25,0)))*12),0)))*30.4375,0)," días.")," ")</f>
        <v xml:space="preserve"> </v>
      </c>
      <c r="K14" s="288"/>
      <c r="AA14" s="3">
        <f>+Datos!F22</f>
        <v>2</v>
      </c>
      <c r="AB14" s="3">
        <f>IF(AA14=2,+AB10*1.05,IF(AA14=3,+AB10*1.1,IF(AA14&gt;3,+AB10*1.15,AB10)))</f>
        <v>33711.8145</v>
      </c>
    </row>
    <row r="15" spans="2:33" ht="12.75" x14ac:dyDescent="0.2">
      <c r="B15" s="3" t="s">
        <v>2</v>
      </c>
      <c r="C15" s="166" t="s">
        <v>26</v>
      </c>
      <c r="D15" s="166"/>
      <c r="E15" s="166"/>
      <c r="F15" s="166"/>
      <c r="G15" s="270">
        <f>IF(Datos!L16=Datos!AE72,+Datos!E18-Datos!E27,0)</f>
        <v>417</v>
      </c>
      <c r="H15" s="35" t="str">
        <f t="shared" si="7"/>
        <v>1 años 1 meses 22 días.</v>
      </c>
      <c r="AA15" s="3" t="str">
        <f>+Datos!E20</f>
        <v>Mujer</v>
      </c>
      <c r="AB15" s="3">
        <f>IF(AA15="Mujer",AB14,AB10)</f>
        <v>33711.8145</v>
      </c>
    </row>
    <row r="16" spans="2:33" ht="12.75" x14ac:dyDescent="0.2">
      <c r="C16" s="165" t="s">
        <v>183</v>
      </c>
      <c r="D16" s="165"/>
      <c r="E16" s="165"/>
      <c r="F16" s="165"/>
      <c r="G16" s="167">
        <f>+G15+G14</f>
        <v>417</v>
      </c>
      <c r="H16" s="35" t="str">
        <f>IF(G16&gt;0,CONCATENATE(ROUNDDOWN((G16)/365.25,0)," años ",ROUNDDOWN(((((G16)/365.25)-(ROUNDDOWN((G16)/365.25,0)))*12),0)," meses ",ROUNDUP((((((G16)/365.25)-(ROUNDDOWN((G16)/365.25,0)))*12)-(ROUNDDOWN(((((G16)/365.25)-(ROUNDDOWN((G16)/365.25,0)))*12),0)))*30.4375,0)," días.")," ")</f>
        <v>1 años 1 meses 22 días.</v>
      </c>
      <c r="AB16" s="286" t="e">
        <f>IF(OR(Datos!E12=Datos!AF68,Datos!E12=Datos!AF69,Datos!E12=Datos!AF70),#REF!,#REF!)</f>
        <v>#REF!</v>
      </c>
    </row>
    <row r="17" spans="2:11" ht="11.25" x14ac:dyDescent="0.2">
      <c r="K17" s="169"/>
    </row>
    <row r="18" spans="2:11" ht="18" x14ac:dyDescent="0.2">
      <c r="C18" s="84" t="s">
        <v>126</v>
      </c>
      <c r="D18" s="84"/>
      <c r="E18" s="84"/>
      <c r="F18" s="84"/>
      <c r="G18" s="85" t="s">
        <v>8</v>
      </c>
      <c r="H18" s="85" t="s">
        <v>151</v>
      </c>
      <c r="K18" s="169"/>
    </row>
    <row r="19" spans="2:11" ht="13.5" customHeight="1" x14ac:dyDescent="0.2">
      <c r="B19" s="3" t="s">
        <v>1</v>
      </c>
      <c r="C19" s="183" t="s">
        <v>86</v>
      </c>
      <c r="D19" s="183"/>
      <c r="E19" s="183"/>
      <c r="F19" s="183"/>
      <c r="G19" s="270">
        <f>+Datos!J48</f>
        <v>0</v>
      </c>
      <c r="H19" s="35" t="str">
        <f t="shared" ref="H19:H23" si="8">IF(G19&gt;0,CONCATENATE(ROUNDDOWN((G19)/365.25,0)," años ",ROUNDDOWN(((((G19)/365.25)-(ROUNDDOWN((G19)/365.25,0)))*12),0)," meses ",ROUNDUP((((((G19)/365.25)-(ROUNDDOWN((G19)/365.25,0)))*12)-(ROUNDDOWN(((((G19)/365.25)-(ROUNDDOWN((G19)/365.25,0)))*12),0)))*30.4375,0)," días.")," ")</f>
        <v xml:space="preserve"> </v>
      </c>
    </row>
    <row r="20" spans="2:11" ht="15" customHeight="1" x14ac:dyDescent="0.2">
      <c r="B20" s="3" t="s">
        <v>2</v>
      </c>
      <c r="C20" s="34" t="s">
        <v>87</v>
      </c>
      <c r="D20" s="34"/>
      <c r="E20" s="34"/>
      <c r="F20" s="34"/>
      <c r="G20" s="270">
        <f>+Datos!J50</f>
        <v>383</v>
      </c>
      <c r="H20" s="35" t="str">
        <f t="shared" si="8"/>
        <v>1 años 0 meses 18 días.</v>
      </c>
      <c r="K20" s="169"/>
    </row>
    <row r="21" spans="2:11" ht="12.75" x14ac:dyDescent="0.2">
      <c r="B21" s="3" t="s">
        <v>55</v>
      </c>
      <c r="C21" s="33" t="s">
        <v>89</v>
      </c>
      <c r="D21" s="33"/>
      <c r="E21" s="33"/>
      <c r="F21" s="33"/>
      <c r="G21" s="270">
        <f>+Datos!J52</f>
        <v>0</v>
      </c>
      <c r="H21" s="35" t="str">
        <f t="shared" si="8"/>
        <v xml:space="preserve"> </v>
      </c>
      <c r="K21" s="169"/>
    </row>
    <row r="22" spans="2:11" ht="12.75" x14ac:dyDescent="0.2">
      <c r="B22" s="3" t="s">
        <v>56</v>
      </c>
      <c r="C22" s="33" t="s">
        <v>85</v>
      </c>
      <c r="D22" s="33"/>
      <c r="E22" s="33"/>
      <c r="F22" s="33"/>
      <c r="G22" s="270">
        <f>+Datos!J54</f>
        <v>0</v>
      </c>
      <c r="H22" s="35" t="str">
        <f t="shared" si="8"/>
        <v xml:space="preserve"> </v>
      </c>
      <c r="K22" s="169"/>
    </row>
    <row r="23" spans="2:11" ht="12.75" x14ac:dyDescent="0.2">
      <c r="B23" s="3" t="s">
        <v>57</v>
      </c>
      <c r="C23" s="33" t="s">
        <v>88</v>
      </c>
      <c r="D23" s="33"/>
      <c r="E23" s="33"/>
      <c r="F23" s="33"/>
      <c r="G23" s="270">
        <f>+Datos!J56</f>
        <v>0</v>
      </c>
      <c r="H23" s="35" t="str">
        <f t="shared" si="8"/>
        <v xml:space="preserve"> </v>
      </c>
      <c r="K23" s="169"/>
    </row>
    <row r="24" spans="2:11" ht="12.75" x14ac:dyDescent="0.2">
      <c r="C24" s="99" t="s">
        <v>91</v>
      </c>
      <c r="D24" s="99"/>
      <c r="E24" s="99"/>
      <c r="F24" s="99"/>
      <c r="G24" s="37">
        <f>SUM(G19:G23)</f>
        <v>383</v>
      </c>
      <c r="H24" s="35" t="str">
        <f>IF(G24&gt;0,CONCATENATE(ROUNDDOWN((G24)/365.25,0)," años ",ROUNDDOWN(((((G24)/365.25)-(ROUNDDOWN((G24)/365.25,0)))*12),0)," meses ",ROUNDUP((((((G24)/365.25)-(ROUNDDOWN((G24)/365.25,0)))*12)-(ROUNDDOWN(((((G24)/365.25)-(ROUNDDOWN((G24)/365.25,0)))*12),0)))*30.4375,0)," días.")," ")</f>
        <v>1 años 0 meses 18 días.</v>
      </c>
      <c r="K24" s="169"/>
    </row>
    <row r="25" spans="2:11" ht="11.25" x14ac:dyDescent="0.2">
      <c r="K25" s="169"/>
    </row>
    <row r="26" spans="2:11" ht="15.75" x14ac:dyDescent="0.2">
      <c r="C26" s="164" t="s">
        <v>178</v>
      </c>
      <c r="D26" s="164"/>
      <c r="E26" s="164"/>
      <c r="F26" s="164"/>
      <c r="G26" s="165" t="s">
        <v>8</v>
      </c>
      <c r="H26" s="165" t="s">
        <v>151</v>
      </c>
    </row>
    <row r="27" spans="2:11" ht="12.75" x14ac:dyDescent="0.2">
      <c r="B27" s="3" t="s">
        <v>1</v>
      </c>
      <c r="C27" s="166" t="s">
        <v>27</v>
      </c>
      <c r="D27" s="166"/>
      <c r="E27" s="166"/>
      <c r="F27" s="166"/>
      <c r="G27" s="270">
        <f>IF(Datos!L16='Tiempos de cotización'!B27,Datos!AH64,0)</f>
        <v>0</v>
      </c>
      <c r="H27" s="35" t="str">
        <f t="shared" ref="H27:H28" si="9">IF(G27&gt;0,CONCATENATE(ROUNDDOWN((G27)/365.25,0)," años ",ROUNDDOWN(((((G27)/365.25)-(ROUNDDOWN((G27)/365.25,0)))*12),0)," meses ",ROUNDUP((((((G27)/365.25)-(ROUNDDOWN((G27)/365.25,0)))*12)-(ROUNDDOWN(((((G27)/365.25)-(ROUNDDOWN((G27)/365.25,0)))*12),0)))*30.4375,0)," días.")," ")</f>
        <v xml:space="preserve"> </v>
      </c>
    </row>
    <row r="28" spans="2:11" ht="12.75" x14ac:dyDescent="0.2">
      <c r="B28" s="3" t="s">
        <v>2</v>
      </c>
      <c r="C28" s="166" t="s">
        <v>26</v>
      </c>
      <c r="D28" s="166"/>
      <c r="E28" s="166"/>
      <c r="F28" s="166"/>
      <c r="G28" s="270">
        <f>IF(Datos!L16='Tiempos de cotización'!B28,Datos!AH64,0)</f>
        <v>0</v>
      </c>
      <c r="H28" s="35" t="str">
        <f t="shared" si="9"/>
        <v xml:space="preserve"> </v>
      </c>
    </row>
    <row r="29" spans="2:11" ht="12.75" x14ac:dyDescent="0.2">
      <c r="C29" s="165" t="s">
        <v>184</v>
      </c>
      <c r="D29" s="165"/>
      <c r="E29" s="165"/>
      <c r="F29" s="165"/>
      <c r="G29" s="167">
        <f>SUM(G27:G28)</f>
        <v>0</v>
      </c>
      <c r="H29" s="35" t="str">
        <f>IF(G29&gt;0,CONCATENATE(ROUNDDOWN((G29)/365.25,0)," años ",ROUNDDOWN(((((G29)/365.25)-(ROUNDDOWN((G29)/365.25,0)))*12),0)," meses ",ROUNDUP((((((G29)/365.25)-(ROUNDDOWN((G29)/365.25,0)))*12)-(ROUNDDOWN(((((G29)/365.25)-(ROUNDDOWN((G29)/365.25,0)))*12),0)))*30.4375,0)," días.")," ")</f>
        <v xml:space="preserve"> </v>
      </c>
    </row>
    <row r="30" spans="2:11" ht="11.25" x14ac:dyDescent="0.2"/>
    <row r="31" spans="2:11" ht="11.25" x14ac:dyDescent="0.2">
      <c r="K31" s="88"/>
    </row>
    <row r="32" spans="2:11" ht="18" x14ac:dyDescent="0.2">
      <c r="C32" s="164" t="s">
        <v>185</v>
      </c>
      <c r="D32" s="181"/>
      <c r="E32" s="181"/>
      <c r="F32" s="181"/>
      <c r="G32" s="165" t="s">
        <v>8</v>
      </c>
      <c r="H32" s="165" t="s">
        <v>151</v>
      </c>
    </row>
    <row r="33" spans="2:8" ht="15.75" customHeight="1" x14ac:dyDescent="0.2">
      <c r="B33" s="3" t="s">
        <v>1</v>
      </c>
      <c r="C33" s="182" t="s">
        <v>86</v>
      </c>
      <c r="D33" s="182"/>
      <c r="E33" s="182"/>
      <c r="F33" s="182"/>
      <c r="G33" s="270">
        <f>IF(Datos!L16='Tiempos de cotización'!B33,(Datos!X12)+(Datos!X14),0)</f>
        <v>0</v>
      </c>
      <c r="H33" s="35" t="str">
        <f t="shared" ref="H33:H37" si="10">IF(G33&gt;0,CONCATENATE(ROUNDDOWN((G33)/365.25,0)," años ",ROUNDDOWN(((((G33)/365.25)-(ROUNDDOWN((G33)/365.25,0)))*12),0)," meses ",ROUNDUP((((((G33)/365.25)-(ROUNDDOWN((G33)/365.25,0)))*12)-(ROUNDDOWN(((((G33)/365.25)-(ROUNDDOWN((G33)/365.25,0)))*12),0)))*30.4375,0)," días.")," ")</f>
        <v xml:space="preserve"> </v>
      </c>
    </row>
    <row r="34" spans="2:8" ht="12.75" customHeight="1" x14ac:dyDescent="0.2">
      <c r="B34" s="3" t="s">
        <v>2</v>
      </c>
      <c r="C34" s="182" t="s">
        <v>87</v>
      </c>
      <c r="D34" s="182"/>
      <c r="E34" s="182"/>
      <c r="F34" s="182"/>
      <c r="G34" s="270">
        <f>IF(Datos!L16='Tiempos de cotización'!B34,(Datos!X12)+(Datos!X14),0)</f>
        <v>120</v>
      </c>
      <c r="H34" s="35" t="str">
        <f t="shared" si="10"/>
        <v>0 años 3 meses 29 días.</v>
      </c>
    </row>
    <row r="35" spans="2:8" ht="12.75" x14ac:dyDescent="0.2">
      <c r="B35" s="3" t="s">
        <v>55</v>
      </c>
      <c r="C35" s="182" t="s">
        <v>89</v>
      </c>
      <c r="D35" s="182"/>
      <c r="E35" s="182"/>
      <c r="F35" s="182"/>
      <c r="G35" s="271">
        <f>+Datos!AG47</f>
        <v>0</v>
      </c>
      <c r="H35" s="35" t="str">
        <f t="shared" si="10"/>
        <v xml:space="preserve"> </v>
      </c>
    </row>
    <row r="36" spans="2:8" ht="12.75" x14ac:dyDescent="0.2">
      <c r="B36" s="3" t="s">
        <v>56</v>
      </c>
      <c r="C36" s="182" t="s">
        <v>85</v>
      </c>
      <c r="D36" s="182"/>
      <c r="E36" s="182"/>
      <c r="F36" s="182"/>
      <c r="G36" s="271">
        <f>+Datos!AG48</f>
        <v>0</v>
      </c>
      <c r="H36" s="35" t="str">
        <f t="shared" si="10"/>
        <v xml:space="preserve"> </v>
      </c>
    </row>
    <row r="37" spans="2:8" ht="15" customHeight="1" x14ac:dyDescent="0.2">
      <c r="B37" s="3" t="s">
        <v>57</v>
      </c>
      <c r="C37" s="182" t="s">
        <v>88</v>
      </c>
      <c r="D37" s="182"/>
      <c r="E37" s="182"/>
      <c r="F37" s="182"/>
      <c r="G37" s="270">
        <f>+Datos!X16</f>
        <v>0</v>
      </c>
      <c r="H37" s="35" t="str">
        <f t="shared" si="10"/>
        <v xml:space="preserve"> </v>
      </c>
    </row>
    <row r="38" spans="2:8" ht="12.75" x14ac:dyDescent="0.2">
      <c r="C38" s="165" t="s">
        <v>186</v>
      </c>
      <c r="D38" s="165"/>
      <c r="E38" s="165"/>
      <c r="F38" s="165"/>
      <c r="G38" s="167">
        <f>SUM(G33:G37)</f>
        <v>120</v>
      </c>
      <c r="H38" s="35" t="str">
        <f>IF(G38&gt;0,CONCATENATE(ROUNDDOWN((G38)/365.25,0)," años ",ROUNDDOWN(((((G38)/365.25)-(ROUNDDOWN((G38)/365.25,0)))*12),0)," meses ",ROUNDUP((((((G38)/365.25)-(ROUNDDOWN((G38)/365.25,0)))*12)-(ROUNDDOWN(((((G38)/365.25)-(ROUNDDOWN((G38)/365.25,0)))*12),0)))*30.4375,0)," días.")," ")</f>
        <v>0 años 3 meses 29 días.</v>
      </c>
    </row>
    <row r="39" spans="2:8" ht="11.25" x14ac:dyDescent="0.2"/>
    <row r="40" spans="2:8" ht="12.75" x14ac:dyDescent="0.2">
      <c r="G40" s="85" t="s">
        <v>8</v>
      </c>
      <c r="H40" s="85" t="s">
        <v>151</v>
      </c>
    </row>
    <row r="41" spans="2:8" ht="15.75" x14ac:dyDescent="0.2">
      <c r="C41" s="38" t="s">
        <v>187</v>
      </c>
      <c r="D41" s="38"/>
      <c r="E41" s="38"/>
      <c r="F41" s="38"/>
      <c r="G41" s="39">
        <f>+G24+G11+G16+G29+G38</f>
        <v>10958</v>
      </c>
      <c r="H41" s="35" t="str">
        <f>IF(G41&gt;0,CONCATENATE(ROUNDDOWN((G41)/365.25,0)," años ",ROUNDDOWN(((((G41)/365.25)-(ROUNDDOWN((G41)/365.25,0)))*12),0)," meses ",ROUNDUP((((((G41)/365.25)-(ROUNDDOWN((G41)/365.25,0)))*12)-(ROUNDDOWN(((((G41)/365.25)-(ROUNDDOWN((G41)/365.25,0)))*12),0)))*30.4375,0)," días.")," ")</f>
        <v>30 años 0 meses 1 días.</v>
      </c>
    </row>
    <row r="42" spans="2:8" ht="11.25" x14ac:dyDescent="0.2"/>
    <row r="43" spans="2:8" ht="15" hidden="1" x14ac:dyDescent="0.2">
      <c r="C43" s="89" t="str">
        <f>CONCATENATE(M6,":    ",N6)</f>
        <v>Nuevo trienio:    0 años 5 meses 25 días.</v>
      </c>
      <c r="D43" s="89"/>
      <c r="E43" s="89"/>
      <c r="F43" s="89"/>
    </row>
    <row r="44" spans="2:8" ht="11.25" hidden="1" x14ac:dyDescent="0.2"/>
    <row r="45" spans="2:8" ht="15" hidden="1" x14ac:dyDescent="0.2">
      <c r="C45" s="89" t="str">
        <f>CONCATENATE(O14,":    ",O15)</f>
        <v xml:space="preserve">:    </v>
      </c>
      <c r="D45" s="89"/>
      <c r="E45" s="89"/>
      <c r="F45" s="89"/>
    </row>
    <row r="46" spans="2:8" ht="11.25" hidden="1" x14ac:dyDescent="0.2"/>
    <row r="47" spans="2:8" ht="15.75" hidden="1" x14ac:dyDescent="0.25">
      <c r="C47" s="161" t="s">
        <v>443</v>
      </c>
      <c r="D47" s="161"/>
      <c r="E47" s="161"/>
      <c r="F47" s="161"/>
    </row>
    <row r="48" spans="2:8" ht="11.25" hidden="1" x14ac:dyDescent="0.2">
      <c r="C48" s="88" t="s">
        <v>177</v>
      </c>
      <c r="D48" s="88"/>
      <c r="E48" s="88"/>
      <c r="F48" s="88"/>
    </row>
    <row r="49" spans="3:8" ht="11.25" hidden="1" x14ac:dyDescent="0.2"/>
    <row r="50" spans="3:8" ht="11.25" hidden="1" x14ac:dyDescent="0.2"/>
    <row r="51" spans="3:8" ht="11.25" hidden="1" x14ac:dyDescent="0.2">
      <c r="C51" s="273" t="s">
        <v>212</v>
      </c>
      <c r="G51" s="160">
        <f>+G16+G29+G38</f>
        <v>537</v>
      </c>
      <c r="H51" s="35" t="str">
        <f>IF(G51&gt;0,CONCATENATE(ROUNDDOWN((G51)/365.25,0)," años ",ROUNDDOWN(((((G51)/365.25)-(ROUNDDOWN((G51)/365.25,0)))*12),0)," meses ",ROUNDUP((((((G51)/365.25)-(ROUNDDOWN((G51)/365.25,0)))*12)-(ROUNDDOWN(((((G51)/365.25)-(ROUNDDOWN((G51)/365.25,0)))*12),0)))*30.4375,0)," días.")," ")</f>
        <v>1 años 5 meses 20 días.</v>
      </c>
    </row>
    <row r="52" spans="3:8" ht="11.25" hidden="1" x14ac:dyDescent="0.2"/>
    <row r="53" spans="3:8" ht="11.25" hidden="1" x14ac:dyDescent="0.2"/>
    <row r="54" spans="3:8" ht="11.25" hidden="1" x14ac:dyDescent="0.2">
      <c r="C54" s="273" t="s">
        <v>213</v>
      </c>
      <c r="G54" s="160">
        <f>+G11+G16</f>
        <v>10455</v>
      </c>
      <c r="H54" s="35" t="str">
        <f>IF(G54&gt;0,CONCATENATE(ROUNDDOWN((G54)/365.25,0)," años ",ROUNDDOWN(((((G54)/365.25)-(ROUNDDOWN((G54)/365.25,0)))*12),0)," meses ",ROUNDUP((((((G54)/365.25)-(ROUNDDOWN((G54)/365.25,0)))*12)-(ROUNDDOWN(((((G54)/365.25)-(ROUNDDOWN((G54)/365.25,0)))*12),0)))*30.4375,0)," días.")," ")</f>
        <v>28 años 7 meses 15 días.</v>
      </c>
    </row>
    <row r="55" spans="3:8" ht="11.25" hidden="1" x14ac:dyDescent="0.2"/>
    <row r="56" spans="3:8" ht="11.25" hidden="1" x14ac:dyDescent="0.2"/>
    <row r="57" spans="3:8" ht="11.25" hidden="1" x14ac:dyDescent="0.2"/>
    <row r="58" spans="3:8" ht="11.25" hidden="1" x14ac:dyDescent="0.2"/>
    <row r="59" spans="3:8" ht="11.25" hidden="1" x14ac:dyDescent="0.2"/>
    <row r="60" spans="3:8" ht="11.25" hidden="1" x14ac:dyDescent="0.2"/>
    <row r="61" spans="3:8" ht="11.25" hidden="1" x14ac:dyDescent="0.2"/>
    <row r="62" spans="3:8" ht="11.25" hidden="1" x14ac:dyDescent="0.2"/>
    <row r="63" spans="3:8" ht="11.25" hidden="1" x14ac:dyDescent="0.2"/>
    <row r="64" spans="3:8" ht="11.25" hidden="1" x14ac:dyDescent="0.2"/>
    <row r="65" s="3" customFormat="1" ht="11.25" hidden="1" x14ac:dyDescent="0.2"/>
    <row r="66" s="3" customFormat="1" ht="12.95" hidden="1" customHeight="1" x14ac:dyDescent="0.2"/>
    <row r="67" s="3" customFormat="1" ht="12.95" customHeight="1" x14ac:dyDescent="0.2"/>
  </sheetData>
  <sheetProtection algorithmName="SHA-512" hashValue="WyOBJmkcBA9cYOxo8I8xvmKVK9hAW691qJZjI+pxNXs2kl1HJeWwUY4ETnLzyalPFDaZfxBxZrUUbZz6A9nGrQ==" saltValue="R8+R1mp2fsiIAJ9OxZAZdg==" spinCount="100000" sheet="1" selectLockedCells="1"/>
  <mergeCells count="4">
    <mergeCell ref="C1:H1"/>
    <mergeCell ref="C2:H2"/>
    <mergeCell ref="C3:H3"/>
    <mergeCell ref="K1:L2"/>
  </mergeCells>
  <pageMargins left="0.7" right="0.7" top="0.75" bottom="0.75" header="0.3" footer="0.3"/>
  <pageSetup paperSize="9"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63"/>
  <sheetViews>
    <sheetView workbookViewId="0">
      <selection activeCell="W48" sqref="W48"/>
    </sheetView>
    <sheetView workbookViewId="1"/>
  </sheetViews>
  <sheetFormatPr baseColWidth="10" defaultRowHeight="12.75" x14ac:dyDescent="0.2"/>
  <cols>
    <col min="1" max="1" width="4.140625" style="1" customWidth="1"/>
    <col min="2" max="2" width="7.85546875" style="1" bestFit="1" customWidth="1"/>
    <col min="3" max="3" width="11.85546875" style="1" customWidth="1"/>
    <col min="4" max="4" width="1.7109375" style="1" customWidth="1"/>
    <col min="5" max="5" width="9.7109375" style="1" customWidth="1"/>
    <col min="6" max="6" width="8.140625" style="1" bestFit="1" customWidth="1"/>
    <col min="7" max="7" width="1.7109375" style="1" customWidth="1"/>
    <col min="8" max="8" width="9.140625" style="1" bestFit="1" customWidth="1"/>
    <col min="9" max="9" width="10.140625" style="1" bestFit="1" customWidth="1"/>
    <col min="10" max="10" width="1.7109375" style="1" customWidth="1"/>
    <col min="11" max="11" width="9.140625" style="1" bestFit="1" customWidth="1"/>
    <col min="12" max="12" width="8" style="1" bestFit="1" customWidth="1"/>
    <col min="13" max="13" width="1.7109375" style="1" customWidth="1"/>
    <col min="14" max="14" width="9.140625" style="1" bestFit="1" customWidth="1"/>
    <col min="15" max="15" width="8" style="1" bestFit="1" customWidth="1"/>
    <col min="16" max="16" width="1.7109375" style="1" customWidth="1"/>
    <col min="17" max="17" width="9.140625" style="1" bestFit="1" customWidth="1"/>
    <col min="18" max="18" width="8" style="1" bestFit="1" customWidth="1"/>
    <col min="19" max="19" width="1.7109375" style="1" customWidth="1"/>
    <col min="20" max="20" width="9.140625" style="1" bestFit="1" customWidth="1"/>
    <col min="21" max="21" width="8" style="1" bestFit="1" customWidth="1"/>
    <col min="22" max="22" width="3.85546875" style="1" customWidth="1"/>
    <col min="23" max="29" width="11.42578125" style="1" customWidth="1"/>
    <col min="30" max="30" width="2" style="1" customWidth="1"/>
    <col min="31" max="43" width="11.42578125" style="1" customWidth="1"/>
    <col min="44" max="16384" width="11.42578125" style="1"/>
  </cols>
  <sheetData>
    <row r="1" spans="1:24" ht="18" x14ac:dyDescent="0.2">
      <c r="A1" s="15"/>
      <c r="B1" s="486" t="s">
        <v>422</v>
      </c>
      <c r="C1" s="486"/>
      <c r="D1" s="486"/>
      <c r="E1" s="486"/>
      <c r="F1" s="486"/>
      <c r="G1" s="486"/>
      <c r="H1" s="486"/>
      <c r="I1" s="486"/>
      <c r="J1" s="486"/>
      <c r="K1" s="486"/>
      <c r="L1" s="486"/>
      <c r="M1" s="486"/>
      <c r="N1" s="486"/>
      <c r="O1" s="486"/>
      <c r="P1" s="486"/>
      <c r="Q1" s="486"/>
      <c r="R1" s="486"/>
      <c r="S1" s="486"/>
      <c r="T1" s="486"/>
      <c r="U1" s="486"/>
      <c r="V1" s="15"/>
      <c r="W1" s="15"/>
    </row>
    <row r="2" spans="1:24" x14ac:dyDescent="0.2">
      <c r="A2" s="15"/>
      <c r="B2" s="15"/>
      <c r="C2" s="15"/>
      <c r="D2" s="15"/>
      <c r="E2" s="15"/>
      <c r="F2" s="15"/>
      <c r="G2" s="15"/>
      <c r="H2" s="15"/>
      <c r="I2" s="15"/>
      <c r="J2" s="15"/>
      <c r="K2" s="15"/>
      <c r="L2" s="15"/>
      <c r="M2" s="15"/>
      <c r="N2" s="15"/>
      <c r="O2" s="15"/>
      <c r="P2" s="15"/>
      <c r="Q2" s="15"/>
      <c r="R2" s="15"/>
      <c r="S2" s="15"/>
      <c r="T2" s="15"/>
      <c r="U2" s="15"/>
      <c r="V2" s="15"/>
      <c r="W2" s="15"/>
    </row>
    <row r="3" spans="1:24" x14ac:dyDescent="0.2">
      <c r="A3" s="15"/>
      <c r="B3" s="15"/>
      <c r="C3" s="15"/>
      <c r="D3" s="15"/>
      <c r="E3" s="15"/>
      <c r="F3" s="15"/>
      <c r="G3" s="15"/>
      <c r="H3" s="15"/>
      <c r="I3" s="15"/>
      <c r="J3" s="15"/>
      <c r="K3" s="15"/>
      <c r="L3" s="15"/>
      <c r="M3" s="15"/>
      <c r="N3" s="15"/>
      <c r="O3" s="15"/>
      <c r="P3" s="15"/>
      <c r="Q3" s="15"/>
      <c r="R3" s="15"/>
      <c r="S3" s="15"/>
      <c r="T3" s="15"/>
      <c r="U3" s="15"/>
      <c r="V3" s="15"/>
      <c r="W3" s="15"/>
    </row>
    <row r="4" spans="1:24" x14ac:dyDescent="0.2">
      <c r="A4" s="15"/>
      <c r="B4" s="488" t="s">
        <v>64</v>
      </c>
      <c r="C4" s="488"/>
      <c r="D4" s="15"/>
      <c r="E4" s="492" t="s">
        <v>1</v>
      </c>
      <c r="F4" s="492"/>
      <c r="G4" s="15"/>
      <c r="H4" s="493" t="s">
        <v>2</v>
      </c>
      <c r="I4" s="493"/>
      <c r="J4" s="15"/>
      <c r="K4" s="494" t="s">
        <v>54</v>
      </c>
      <c r="L4" s="494"/>
      <c r="M4" s="15"/>
      <c r="N4" s="489" t="s">
        <v>55</v>
      </c>
      <c r="O4" s="489"/>
      <c r="P4" s="15"/>
      <c r="Q4" s="490" t="s">
        <v>56</v>
      </c>
      <c r="R4" s="490"/>
      <c r="S4" s="15"/>
      <c r="T4" s="491" t="s">
        <v>57</v>
      </c>
      <c r="U4" s="491"/>
      <c r="V4" s="15"/>
      <c r="W4" s="15"/>
      <c r="X4" s="15"/>
    </row>
    <row r="5" spans="1:24" x14ac:dyDescent="0.2">
      <c r="A5" s="15"/>
      <c r="B5" s="487" t="s">
        <v>3</v>
      </c>
      <c r="C5" s="487"/>
      <c r="D5" s="15"/>
      <c r="E5" s="341">
        <v>49914.06</v>
      </c>
      <c r="F5" s="298"/>
      <c r="G5" s="15"/>
      <c r="H5" s="341">
        <v>39283.61</v>
      </c>
      <c r="I5" s="299"/>
      <c r="J5" s="15"/>
      <c r="K5" s="341">
        <v>34399.18</v>
      </c>
      <c r="L5" s="300"/>
      <c r="M5" s="15"/>
      <c r="N5" s="341">
        <v>30170.49</v>
      </c>
      <c r="O5" s="301"/>
      <c r="P5" s="15"/>
      <c r="Q5" s="341">
        <v>23869.85</v>
      </c>
      <c r="R5" s="302"/>
      <c r="S5" s="15"/>
      <c r="T5" s="341">
        <v>20350.96</v>
      </c>
      <c r="U5" s="303"/>
      <c r="V5" s="15"/>
    </row>
    <row r="6" spans="1:24" ht="25.5" x14ac:dyDescent="0.2">
      <c r="A6" s="15"/>
      <c r="B6" s="297" t="s">
        <v>0</v>
      </c>
      <c r="C6" s="304" t="s">
        <v>65</v>
      </c>
      <c r="D6" s="15"/>
      <c r="E6" s="90" t="s">
        <v>4</v>
      </c>
      <c r="F6" s="90" t="s">
        <v>5</v>
      </c>
      <c r="G6" s="15"/>
      <c r="H6" s="91" t="s">
        <v>4</v>
      </c>
      <c r="I6" s="91" t="s">
        <v>5</v>
      </c>
      <c r="J6" s="15"/>
      <c r="K6" s="92" t="s">
        <v>4</v>
      </c>
      <c r="L6" s="92" t="s">
        <v>5</v>
      </c>
      <c r="M6" s="15"/>
      <c r="N6" s="93" t="s">
        <v>4</v>
      </c>
      <c r="O6" s="93" t="s">
        <v>5</v>
      </c>
      <c r="P6" s="15"/>
      <c r="Q6" s="94" t="s">
        <v>4</v>
      </c>
      <c r="R6" s="94" t="s">
        <v>5</v>
      </c>
      <c r="S6" s="15"/>
      <c r="T6" s="95" t="s">
        <v>4</v>
      </c>
      <c r="U6" s="95" t="s">
        <v>5</v>
      </c>
      <c r="V6" s="15"/>
      <c r="W6" s="15"/>
    </row>
    <row r="7" spans="1:24" x14ac:dyDescent="0.2">
      <c r="A7" s="15"/>
      <c r="B7" s="291">
        <v>1</v>
      </c>
      <c r="C7" s="4">
        <v>1.24E-2</v>
      </c>
      <c r="D7" s="15"/>
      <c r="E7" s="25">
        <f>IF((ROUND(+E$5*C7,2))&gt;$I$43,$I$43,ROUND(+E$5*C7,2))</f>
        <v>618.92999999999995</v>
      </c>
      <c r="F7" s="25">
        <f t="shared" ref="F7:F20" si="0">ROUND(+E7/14,2)</f>
        <v>44.21</v>
      </c>
      <c r="G7" s="15"/>
      <c r="H7" s="26">
        <f>IF((ROUND(+H$5*C7,2))&gt;$I$43,$I$43,ROUND(+H$5*C7,2))</f>
        <v>487.12</v>
      </c>
      <c r="I7" s="26">
        <f t="shared" ref="I7:I20" si="1">ROUND(+H7/14,2)</f>
        <v>34.79</v>
      </c>
      <c r="J7" s="15"/>
      <c r="K7" s="27">
        <f t="shared" ref="K7:K41" si="2">IF((ROUND(+K$5*C7,2))&gt;$I$43,$I$43,ROUND(+K$5*C7,2))</f>
        <v>426.55</v>
      </c>
      <c r="L7" s="27">
        <f>ROUND(+K7/14,2)</f>
        <v>30.47</v>
      </c>
      <c r="M7" s="15"/>
      <c r="N7" s="28">
        <f t="shared" ref="N7:N41" si="3">IF((ROUND(+N$5*C7,2))&gt;$I$43,$I$43,ROUND(+N$5*C7,2))</f>
        <v>374.11</v>
      </c>
      <c r="O7" s="28">
        <f>ROUND(+N7/14,2)</f>
        <v>26.72</v>
      </c>
      <c r="P7" s="15"/>
      <c r="Q7" s="29">
        <f t="shared" ref="Q7:Q41" si="4">IF((ROUND(+Q$5*C7,2))&gt;$I$43,$I$43,ROUND(+Q$5*C7,2))</f>
        <v>295.99</v>
      </c>
      <c r="R7" s="29">
        <f>ROUND(+Q7/14,2)</f>
        <v>21.14</v>
      </c>
      <c r="S7" s="15"/>
      <c r="T7" s="30">
        <f t="shared" ref="T7:T41" si="5">IF((ROUND(+T$5*C7,2))&gt;$I$43,$I$43,ROUND(+T$5*C7,2))</f>
        <v>252.35</v>
      </c>
      <c r="U7" s="30">
        <f>ROUND(+T7/14,2)</f>
        <v>18.03</v>
      </c>
      <c r="V7" s="15"/>
      <c r="W7" s="15"/>
    </row>
    <row r="8" spans="1:24" x14ac:dyDescent="0.2">
      <c r="A8" s="15"/>
      <c r="B8" s="291">
        <v>2</v>
      </c>
      <c r="C8" s="4">
        <v>2.5499999999999998E-2</v>
      </c>
      <c r="D8" s="15"/>
      <c r="E8" s="25">
        <f t="shared" ref="E8:E41" si="6">IF((ROUND(+E$5*C8,2))&gt;I$43,I$43,ROUND(+E$5*C8,2))</f>
        <v>1272.81</v>
      </c>
      <c r="F8" s="25">
        <f t="shared" si="0"/>
        <v>90.92</v>
      </c>
      <c r="G8" s="15"/>
      <c r="H8" s="26">
        <f t="shared" ref="H8:H41" si="7">IF((ROUND(+H$5*C8,2))&gt;$I$43,$I$43,ROUND(+H$5*C8,2))</f>
        <v>1001.73</v>
      </c>
      <c r="I8" s="26">
        <f t="shared" si="1"/>
        <v>71.55</v>
      </c>
      <c r="J8" s="15"/>
      <c r="K8" s="27">
        <f t="shared" si="2"/>
        <v>877.18</v>
      </c>
      <c r="L8" s="27">
        <f t="shared" ref="L8:L41" si="8">ROUND(+K8/14,2)</f>
        <v>62.66</v>
      </c>
      <c r="M8" s="15"/>
      <c r="N8" s="28">
        <f t="shared" si="3"/>
        <v>769.35</v>
      </c>
      <c r="O8" s="28">
        <f t="shared" ref="O8:O41" si="9">ROUND(+N8/14,2)</f>
        <v>54.95</v>
      </c>
      <c r="P8" s="15"/>
      <c r="Q8" s="29">
        <f t="shared" si="4"/>
        <v>608.67999999999995</v>
      </c>
      <c r="R8" s="29">
        <f t="shared" ref="R8:R41" si="10">ROUND(+Q8/14,2)</f>
        <v>43.48</v>
      </c>
      <c r="S8" s="15"/>
      <c r="T8" s="30">
        <f t="shared" si="5"/>
        <v>518.95000000000005</v>
      </c>
      <c r="U8" s="30">
        <f t="shared" ref="U8:U41" si="11">ROUND(+T8/14,2)</f>
        <v>37.07</v>
      </c>
      <c r="V8" s="15"/>
      <c r="W8" s="15"/>
    </row>
    <row r="9" spans="1:24" x14ac:dyDescent="0.2">
      <c r="A9" s="15"/>
      <c r="B9" s="291">
        <v>3</v>
      </c>
      <c r="C9" s="4">
        <v>3.8800000000000001E-2</v>
      </c>
      <c r="D9" s="15"/>
      <c r="E9" s="25">
        <f t="shared" si="6"/>
        <v>1936.67</v>
      </c>
      <c r="F9" s="25">
        <f t="shared" si="0"/>
        <v>138.33000000000001</v>
      </c>
      <c r="G9" s="15"/>
      <c r="H9" s="26">
        <f t="shared" si="7"/>
        <v>1524.2</v>
      </c>
      <c r="I9" s="26">
        <f t="shared" si="1"/>
        <v>108.87</v>
      </c>
      <c r="J9" s="15"/>
      <c r="K9" s="27">
        <f t="shared" si="2"/>
        <v>1334.69</v>
      </c>
      <c r="L9" s="27">
        <f t="shared" si="8"/>
        <v>95.34</v>
      </c>
      <c r="M9" s="15"/>
      <c r="N9" s="28">
        <f t="shared" si="3"/>
        <v>1170.6199999999999</v>
      </c>
      <c r="O9" s="28">
        <f t="shared" si="9"/>
        <v>83.62</v>
      </c>
      <c r="P9" s="15"/>
      <c r="Q9" s="29">
        <f t="shared" si="4"/>
        <v>926.15</v>
      </c>
      <c r="R9" s="29">
        <f t="shared" si="10"/>
        <v>66.150000000000006</v>
      </c>
      <c r="S9" s="15"/>
      <c r="T9" s="30">
        <f t="shared" si="5"/>
        <v>789.62</v>
      </c>
      <c r="U9" s="30">
        <f t="shared" si="11"/>
        <v>56.4</v>
      </c>
      <c r="V9" s="15"/>
      <c r="W9" s="15"/>
    </row>
    <row r="10" spans="1:24" x14ac:dyDescent="0.2">
      <c r="A10" s="15"/>
      <c r="B10" s="291">
        <v>4</v>
      </c>
      <c r="C10" s="4">
        <v>5.3100000000000001E-2</v>
      </c>
      <c r="D10" s="15"/>
      <c r="E10" s="25">
        <f t="shared" si="6"/>
        <v>2650.44</v>
      </c>
      <c r="F10" s="25">
        <f t="shared" si="0"/>
        <v>189.32</v>
      </c>
      <c r="G10" s="15"/>
      <c r="H10" s="26">
        <f t="shared" si="7"/>
        <v>2085.96</v>
      </c>
      <c r="I10" s="26">
        <f t="shared" si="1"/>
        <v>149</v>
      </c>
      <c r="J10" s="15"/>
      <c r="K10" s="27">
        <f t="shared" si="2"/>
        <v>1826.6</v>
      </c>
      <c r="L10" s="27">
        <f t="shared" si="8"/>
        <v>130.47</v>
      </c>
      <c r="M10" s="15"/>
      <c r="N10" s="28">
        <f t="shared" si="3"/>
        <v>1602.05</v>
      </c>
      <c r="O10" s="28">
        <f t="shared" si="9"/>
        <v>114.43</v>
      </c>
      <c r="P10" s="15"/>
      <c r="Q10" s="29">
        <f t="shared" si="4"/>
        <v>1267.49</v>
      </c>
      <c r="R10" s="29">
        <f t="shared" si="10"/>
        <v>90.54</v>
      </c>
      <c r="S10" s="15"/>
      <c r="T10" s="30">
        <f t="shared" si="5"/>
        <v>1080.6400000000001</v>
      </c>
      <c r="U10" s="30">
        <f t="shared" si="11"/>
        <v>77.19</v>
      </c>
      <c r="V10" s="15"/>
      <c r="W10" s="15"/>
    </row>
    <row r="11" spans="1:24" x14ac:dyDescent="0.2">
      <c r="A11" s="15"/>
      <c r="B11" s="291">
        <v>5</v>
      </c>
      <c r="C11" s="4">
        <v>6.83E-2</v>
      </c>
      <c r="D11" s="15"/>
      <c r="E11" s="25">
        <f t="shared" si="6"/>
        <v>3409.13</v>
      </c>
      <c r="F11" s="25">
        <f t="shared" si="0"/>
        <v>243.51</v>
      </c>
      <c r="G11" s="15"/>
      <c r="H11" s="26">
        <f t="shared" si="7"/>
        <v>2683.07</v>
      </c>
      <c r="I11" s="26">
        <f t="shared" si="1"/>
        <v>191.65</v>
      </c>
      <c r="J11" s="15"/>
      <c r="K11" s="27">
        <f t="shared" si="2"/>
        <v>2349.46</v>
      </c>
      <c r="L11" s="27">
        <f t="shared" si="8"/>
        <v>167.82</v>
      </c>
      <c r="M11" s="15"/>
      <c r="N11" s="28">
        <f t="shared" si="3"/>
        <v>2060.64</v>
      </c>
      <c r="O11" s="28">
        <f t="shared" si="9"/>
        <v>147.19</v>
      </c>
      <c r="P11" s="15"/>
      <c r="Q11" s="29">
        <f t="shared" si="4"/>
        <v>1630.31</v>
      </c>
      <c r="R11" s="29">
        <f t="shared" si="10"/>
        <v>116.45</v>
      </c>
      <c r="S11" s="15"/>
      <c r="T11" s="30">
        <f t="shared" si="5"/>
        <v>1389.97</v>
      </c>
      <c r="U11" s="30">
        <f t="shared" si="11"/>
        <v>99.28</v>
      </c>
      <c r="V11" s="15"/>
      <c r="W11" s="15"/>
    </row>
    <row r="12" spans="1:24" x14ac:dyDescent="0.2">
      <c r="A12" s="15"/>
      <c r="B12" s="291">
        <v>6</v>
      </c>
      <c r="C12" s="4">
        <v>8.43E-2</v>
      </c>
      <c r="D12" s="15"/>
      <c r="E12" s="25">
        <f t="shared" si="6"/>
        <v>4207.76</v>
      </c>
      <c r="F12" s="25">
        <f t="shared" si="0"/>
        <v>300.55</v>
      </c>
      <c r="G12" s="15"/>
      <c r="H12" s="26">
        <f t="shared" si="7"/>
        <v>3311.61</v>
      </c>
      <c r="I12" s="26">
        <f t="shared" si="1"/>
        <v>236.54</v>
      </c>
      <c r="J12" s="15"/>
      <c r="K12" s="27">
        <f t="shared" si="2"/>
        <v>2899.85</v>
      </c>
      <c r="L12" s="27">
        <f t="shared" si="8"/>
        <v>207.13</v>
      </c>
      <c r="M12" s="15"/>
      <c r="N12" s="28">
        <f t="shared" si="3"/>
        <v>2543.37</v>
      </c>
      <c r="O12" s="28">
        <f t="shared" si="9"/>
        <v>181.67</v>
      </c>
      <c r="P12" s="15"/>
      <c r="Q12" s="29">
        <f t="shared" si="4"/>
        <v>2012.23</v>
      </c>
      <c r="R12" s="29">
        <f t="shared" si="10"/>
        <v>143.72999999999999</v>
      </c>
      <c r="S12" s="15"/>
      <c r="T12" s="30">
        <f t="shared" si="5"/>
        <v>1715.59</v>
      </c>
      <c r="U12" s="30">
        <f t="shared" si="11"/>
        <v>122.54</v>
      </c>
      <c r="V12" s="15"/>
      <c r="W12" s="15"/>
    </row>
    <row r="13" spans="1:24" x14ac:dyDescent="0.2">
      <c r="A13" s="15"/>
      <c r="B13" s="291">
        <v>7</v>
      </c>
      <c r="C13" s="4">
        <v>0.1011</v>
      </c>
      <c r="D13" s="15"/>
      <c r="E13" s="25">
        <f t="shared" si="6"/>
        <v>5046.3100000000004</v>
      </c>
      <c r="F13" s="25">
        <f t="shared" si="0"/>
        <v>360.45</v>
      </c>
      <c r="G13" s="15"/>
      <c r="H13" s="26">
        <f t="shared" si="7"/>
        <v>3971.57</v>
      </c>
      <c r="I13" s="26">
        <f t="shared" si="1"/>
        <v>283.68</v>
      </c>
      <c r="J13" s="15"/>
      <c r="K13" s="27">
        <f t="shared" si="2"/>
        <v>3477.76</v>
      </c>
      <c r="L13" s="27">
        <f t="shared" si="8"/>
        <v>248.41</v>
      </c>
      <c r="M13" s="15"/>
      <c r="N13" s="28">
        <f t="shared" si="3"/>
        <v>3050.24</v>
      </c>
      <c r="O13" s="28">
        <f t="shared" si="9"/>
        <v>217.87</v>
      </c>
      <c r="P13" s="15"/>
      <c r="Q13" s="29">
        <f t="shared" si="4"/>
        <v>2413.2399999999998</v>
      </c>
      <c r="R13" s="29">
        <f t="shared" si="10"/>
        <v>172.37</v>
      </c>
      <c r="S13" s="15"/>
      <c r="T13" s="30">
        <f t="shared" si="5"/>
        <v>2057.48</v>
      </c>
      <c r="U13" s="30">
        <f t="shared" si="11"/>
        <v>146.96</v>
      </c>
      <c r="V13" s="15"/>
      <c r="W13" s="15"/>
    </row>
    <row r="14" spans="1:24" x14ac:dyDescent="0.2">
      <c r="A14" s="15"/>
      <c r="B14" s="291">
        <v>8</v>
      </c>
      <c r="C14" s="4">
        <v>0.1188</v>
      </c>
      <c r="D14" s="15"/>
      <c r="E14" s="25">
        <f t="shared" si="6"/>
        <v>5929.79</v>
      </c>
      <c r="F14" s="25">
        <f t="shared" si="0"/>
        <v>423.56</v>
      </c>
      <c r="G14" s="15"/>
      <c r="H14" s="26">
        <f t="shared" si="7"/>
        <v>4666.8900000000003</v>
      </c>
      <c r="I14" s="26">
        <f t="shared" si="1"/>
        <v>333.35</v>
      </c>
      <c r="J14" s="15"/>
      <c r="K14" s="27">
        <f t="shared" si="2"/>
        <v>4086.62</v>
      </c>
      <c r="L14" s="27">
        <f>ROUND(+K14/14,2)</f>
        <v>291.89999999999998</v>
      </c>
      <c r="M14" s="15"/>
      <c r="N14" s="28">
        <f t="shared" si="3"/>
        <v>3584.25</v>
      </c>
      <c r="O14" s="28">
        <f t="shared" si="9"/>
        <v>256.02</v>
      </c>
      <c r="P14" s="15"/>
      <c r="Q14" s="29">
        <f t="shared" si="4"/>
        <v>2835.74</v>
      </c>
      <c r="R14" s="29">
        <f t="shared" si="10"/>
        <v>202.55</v>
      </c>
      <c r="S14" s="15"/>
      <c r="T14" s="30">
        <f t="shared" si="5"/>
        <v>2417.69</v>
      </c>
      <c r="U14" s="30">
        <f t="shared" si="11"/>
        <v>172.69</v>
      </c>
      <c r="V14" s="15"/>
      <c r="W14" s="15"/>
    </row>
    <row r="15" spans="1:24" x14ac:dyDescent="0.2">
      <c r="A15" s="15"/>
      <c r="B15" s="291">
        <v>9</v>
      </c>
      <c r="C15" s="4">
        <v>0.13730000000000001</v>
      </c>
      <c r="D15" s="15"/>
      <c r="E15" s="25">
        <f t="shared" si="6"/>
        <v>6853.2</v>
      </c>
      <c r="F15" s="25">
        <f t="shared" si="0"/>
        <v>489.51</v>
      </c>
      <c r="G15" s="15"/>
      <c r="H15" s="26">
        <f t="shared" si="7"/>
        <v>5393.64</v>
      </c>
      <c r="I15" s="26">
        <f t="shared" si="1"/>
        <v>385.26</v>
      </c>
      <c r="J15" s="15"/>
      <c r="K15" s="27">
        <f>IF((ROUND(+K$5*C15,2))&gt;$I$43,$I$43,ROUND(+K$5*C15,2))</f>
        <v>4723.01</v>
      </c>
      <c r="L15" s="27">
        <f t="shared" si="8"/>
        <v>337.36</v>
      </c>
      <c r="M15" s="15"/>
      <c r="N15" s="28">
        <f t="shared" si="3"/>
        <v>4142.41</v>
      </c>
      <c r="O15" s="28">
        <f t="shared" si="9"/>
        <v>295.89</v>
      </c>
      <c r="P15" s="15"/>
      <c r="Q15" s="29">
        <f t="shared" si="4"/>
        <v>3277.33</v>
      </c>
      <c r="R15" s="29">
        <f t="shared" si="10"/>
        <v>234.1</v>
      </c>
      <c r="S15" s="15"/>
      <c r="T15" s="30">
        <f t="shared" si="5"/>
        <v>2794.19</v>
      </c>
      <c r="U15" s="30">
        <f t="shared" si="11"/>
        <v>199.59</v>
      </c>
      <c r="V15" s="15"/>
      <c r="W15" s="15"/>
    </row>
    <row r="16" spans="1:24" x14ac:dyDescent="0.2">
      <c r="A16" s="15"/>
      <c r="B16" s="291">
        <v>10</v>
      </c>
      <c r="C16" s="4">
        <v>0.15670000000000001</v>
      </c>
      <c r="D16" s="15"/>
      <c r="E16" s="25">
        <f t="shared" si="6"/>
        <v>7821.53</v>
      </c>
      <c r="F16" s="25">
        <f t="shared" si="0"/>
        <v>558.67999999999995</v>
      </c>
      <c r="G16" s="15"/>
      <c r="H16" s="26">
        <f t="shared" si="7"/>
        <v>6155.74</v>
      </c>
      <c r="I16" s="26">
        <f t="shared" si="1"/>
        <v>439.7</v>
      </c>
      <c r="J16" s="15"/>
      <c r="K16" s="27">
        <f t="shared" si="2"/>
        <v>5390.35</v>
      </c>
      <c r="L16" s="27">
        <f t="shared" si="8"/>
        <v>385.03</v>
      </c>
      <c r="M16" s="15"/>
      <c r="N16" s="28">
        <f t="shared" si="3"/>
        <v>4727.72</v>
      </c>
      <c r="O16" s="28">
        <f t="shared" si="9"/>
        <v>337.69</v>
      </c>
      <c r="P16" s="15"/>
      <c r="Q16" s="29">
        <f t="shared" si="4"/>
        <v>3740.41</v>
      </c>
      <c r="R16" s="29">
        <f t="shared" si="10"/>
        <v>267.17</v>
      </c>
      <c r="S16" s="15"/>
      <c r="T16" s="30">
        <f t="shared" si="5"/>
        <v>3189</v>
      </c>
      <c r="U16" s="30">
        <f t="shared" si="11"/>
        <v>227.79</v>
      </c>
      <c r="V16" s="15"/>
      <c r="W16" s="15"/>
    </row>
    <row r="17" spans="1:23" x14ac:dyDescent="0.2">
      <c r="A17" s="15"/>
      <c r="B17" s="291">
        <v>11</v>
      </c>
      <c r="C17" s="4">
        <v>0.17710000000000001</v>
      </c>
      <c r="D17" s="15"/>
      <c r="E17" s="25">
        <f t="shared" si="6"/>
        <v>8839.7800000000007</v>
      </c>
      <c r="F17" s="25">
        <f t="shared" si="0"/>
        <v>631.41</v>
      </c>
      <c r="G17" s="15"/>
      <c r="H17" s="26">
        <f t="shared" si="7"/>
        <v>6957.13</v>
      </c>
      <c r="I17" s="26">
        <f t="shared" si="1"/>
        <v>496.94</v>
      </c>
      <c r="J17" s="15"/>
      <c r="K17" s="27">
        <f t="shared" si="2"/>
        <v>6092.09</v>
      </c>
      <c r="L17" s="27">
        <f t="shared" si="8"/>
        <v>435.15</v>
      </c>
      <c r="M17" s="15"/>
      <c r="N17" s="28">
        <f t="shared" si="3"/>
        <v>5343.19</v>
      </c>
      <c r="O17" s="28">
        <f t="shared" si="9"/>
        <v>381.66</v>
      </c>
      <c r="P17" s="15"/>
      <c r="Q17" s="29">
        <f t="shared" si="4"/>
        <v>4227.3500000000004</v>
      </c>
      <c r="R17" s="29">
        <f t="shared" si="10"/>
        <v>301.95</v>
      </c>
      <c r="S17" s="15"/>
      <c r="T17" s="30">
        <f t="shared" si="5"/>
        <v>3604.16</v>
      </c>
      <c r="U17" s="30">
        <f t="shared" si="11"/>
        <v>257.44</v>
      </c>
      <c r="V17" s="15"/>
      <c r="W17" s="15"/>
    </row>
    <row r="18" spans="1:23" x14ac:dyDescent="0.2">
      <c r="A18" s="15"/>
      <c r="B18" s="291">
        <v>12</v>
      </c>
      <c r="C18" s="4">
        <v>0.1986</v>
      </c>
      <c r="D18" s="15"/>
      <c r="E18" s="25">
        <f t="shared" si="6"/>
        <v>9912.93</v>
      </c>
      <c r="F18" s="25">
        <f t="shared" si="0"/>
        <v>708.07</v>
      </c>
      <c r="G18" s="15"/>
      <c r="H18" s="26">
        <f t="shared" si="7"/>
        <v>7801.72</v>
      </c>
      <c r="I18" s="26">
        <f t="shared" si="1"/>
        <v>557.27</v>
      </c>
      <c r="J18" s="15"/>
      <c r="K18" s="27">
        <f t="shared" si="2"/>
        <v>6831.68</v>
      </c>
      <c r="L18" s="27">
        <f t="shared" si="8"/>
        <v>487.98</v>
      </c>
      <c r="M18" s="15"/>
      <c r="N18" s="28">
        <f t="shared" si="3"/>
        <v>5991.86</v>
      </c>
      <c r="O18" s="28">
        <f t="shared" si="9"/>
        <v>427.99</v>
      </c>
      <c r="P18" s="15"/>
      <c r="Q18" s="29">
        <f t="shared" si="4"/>
        <v>4740.55</v>
      </c>
      <c r="R18" s="29">
        <f t="shared" si="10"/>
        <v>338.61</v>
      </c>
      <c r="S18" s="15"/>
      <c r="T18" s="30">
        <f t="shared" si="5"/>
        <v>4041.7</v>
      </c>
      <c r="U18" s="30">
        <f t="shared" si="11"/>
        <v>288.69</v>
      </c>
      <c r="V18" s="15"/>
      <c r="W18" s="15"/>
    </row>
    <row r="19" spans="1:23" x14ac:dyDescent="0.2">
      <c r="A19" s="15"/>
      <c r="B19" s="291">
        <v>13</v>
      </c>
      <c r="C19" s="4">
        <v>0.221</v>
      </c>
      <c r="D19" s="15"/>
      <c r="E19" s="25">
        <f t="shared" si="6"/>
        <v>11031.01</v>
      </c>
      <c r="F19" s="25">
        <f t="shared" si="0"/>
        <v>787.93</v>
      </c>
      <c r="G19" s="15"/>
      <c r="H19" s="26">
        <f t="shared" si="7"/>
        <v>8681.68</v>
      </c>
      <c r="I19" s="26">
        <f t="shared" si="1"/>
        <v>620.12</v>
      </c>
      <c r="J19" s="15"/>
      <c r="K19" s="27">
        <f t="shared" si="2"/>
        <v>7602.22</v>
      </c>
      <c r="L19" s="27">
        <f t="shared" si="8"/>
        <v>543.02</v>
      </c>
      <c r="M19" s="15"/>
      <c r="N19" s="28">
        <f t="shared" si="3"/>
        <v>6667.68</v>
      </c>
      <c r="O19" s="28">
        <f t="shared" si="9"/>
        <v>476.26</v>
      </c>
      <c r="P19" s="15"/>
      <c r="Q19" s="29">
        <f t="shared" si="4"/>
        <v>5275.24</v>
      </c>
      <c r="R19" s="29">
        <f t="shared" si="10"/>
        <v>376.8</v>
      </c>
      <c r="S19" s="15"/>
      <c r="T19" s="30">
        <f t="shared" si="5"/>
        <v>4497.5600000000004</v>
      </c>
      <c r="U19" s="30">
        <f t="shared" si="11"/>
        <v>321.25</v>
      </c>
      <c r="V19" s="15"/>
      <c r="W19" s="15"/>
    </row>
    <row r="20" spans="1:23" x14ac:dyDescent="0.2">
      <c r="A20" s="15"/>
      <c r="B20" s="291">
        <v>14</v>
      </c>
      <c r="C20" s="4">
        <v>0.2445</v>
      </c>
      <c r="D20" s="15"/>
      <c r="E20" s="25">
        <f t="shared" si="6"/>
        <v>12203.99</v>
      </c>
      <c r="F20" s="25">
        <f t="shared" si="0"/>
        <v>871.71</v>
      </c>
      <c r="G20" s="15"/>
      <c r="H20" s="26">
        <f t="shared" si="7"/>
        <v>9604.84</v>
      </c>
      <c r="I20" s="26">
        <f t="shared" si="1"/>
        <v>686.06</v>
      </c>
      <c r="J20" s="15"/>
      <c r="K20" s="27">
        <f t="shared" si="2"/>
        <v>8410.6</v>
      </c>
      <c r="L20" s="27">
        <f t="shared" si="8"/>
        <v>600.76</v>
      </c>
      <c r="M20" s="15"/>
      <c r="N20" s="28">
        <f t="shared" si="3"/>
        <v>7376.68</v>
      </c>
      <c r="O20" s="28">
        <f t="shared" si="9"/>
        <v>526.91</v>
      </c>
      <c r="P20" s="15"/>
      <c r="Q20" s="29">
        <f t="shared" si="4"/>
        <v>5836.18</v>
      </c>
      <c r="R20" s="29">
        <f t="shared" si="10"/>
        <v>416.87</v>
      </c>
      <c r="S20" s="15"/>
      <c r="T20" s="30">
        <f t="shared" si="5"/>
        <v>4975.8100000000004</v>
      </c>
      <c r="U20" s="30">
        <f t="shared" si="11"/>
        <v>355.42</v>
      </c>
      <c r="V20" s="15"/>
      <c r="W20" s="15"/>
    </row>
    <row r="21" spans="1:23" x14ac:dyDescent="0.2">
      <c r="A21" s="15"/>
      <c r="B21" s="291">
        <v>15</v>
      </c>
      <c r="C21" s="31">
        <v>0.26919999999999999</v>
      </c>
      <c r="D21" s="15"/>
      <c r="E21" s="25">
        <f t="shared" si="6"/>
        <v>13436.86</v>
      </c>
      <c r="F21" s="25">
        <f>ROUND(+E21/14,2)</f>
        <v>959.78</v>
      </c>
      <c r="G21" s="15"/>
      <c r="H21" s="26">
        <f t="shared" si="7"/>
        <v>10575.15</v>
      </c>
      <c r="I21" s="26">
        <f>ROUND(+H21/14,2)</f>
        <v>755.37</v>
      </c>
      <c r="J21" s="15"/>
      <c r="K21" s="27">
        <f t="shared" si="2"/>
        <v>9260.26</v>
      </c>
      <c r="L21" s="27">
        <f t="shared" si="8"/>
        <v>661.45</v>
      </c>
      <c r="M21" s="15"/>
      <c r="N21" s="28">
        <f t="shared" si="3"/>
        <v>8121.9</v>
      </c>
      <c r="O21" s="28">
        <f t="shared" si="9"/>
        <v>580.14</v>
      </c>
      <c r="P21" s="15"/>
      <c r="Q21" s="29">
        <f t="shared" si="4"/>
        <v>6425.76</v>
      </c>
      <c r="R21" s="29">
        <f t="shared" si="10"/>
        <v>458.98</v>
      </c>
      <c r="S21" s="15"/>
      <c r="T21" s="30">
        <f t="shared" si="5"/>
        <v>5478.48</v>
      </c>
      <c r="U21" s="30">
        <f t="shared" si="11"/>
        <v>391.32</v>
      </c>
      <c r="V21" s="15"/>
      <c r="W21" s="15"/>
    </row>
    <row r="22" spans="1:23" x14ac:dyDescent="0.2">
      <c r="A22" s="15"/>
      <c r="B22" s="291">
        <v>16</v>
      </c>
      <c r="C22" s="31">
        <v>0.30570000000000003</v>
      </c>
      <c r="D22" s="15"/>
      <c r="E22" s="25">
        <f t="shared" si="6"/>
        <v>15258.73</v>
      </c>
      <c r="F22" s="25">
        <f t="shared" ref="F22:I37" si="12">ROUND(+E22/14,2)</f>
        <v>1089.9100000000001</v>
      </c>
      <c r="G22" s="15"/>
      <c r="H22" s="26">
        <f t="shared" si="7"/>
        <v>12009</v>
      </c>
      <c r="I22" s="26">
        <f t="shared" si="12"/>
        <v>857.79</v>
      </c>
      <c r="J22" s="15"/>
      <c r="K22" s="27">
        <f t="shared" si="2"/>
        <v>10515.83</v>
      </c>
      <c r="L22" s="27">
        <f t="shared" si="8"/>
        <v>751.13</v>
      </c>
      <c r="M22" s="15"/>
      <c r="N22" s="28">
        <f t="shared" si="3"/>
        <v>9223.1200000000008</v>
      </c>
      <c r="O22" s="28">
        <f t="shared" si="9"/>
        <v>658.79</v>
      </c>
      <c r="P22" s="15"/>
      <c r="Q22" s="29">
        <f t="shared" si="4"/>
        <v>7297.01</v>
      </c>
      <c r="R22" s="29">
        <f t="shared" si="10"/>
        <v>521.22</v>
      </c>
      <c r="S22" s="15"/>
      <c r="T22" s="30">
        <f t="shared" si="5"/>
        <v>6221.29</v>
      </c>
      <c r="U22" s="30">
        <f t="shared" si="11"/>
        <v>444.38</v>
      </c>
      <c r="V22" s="15"/>
      <c r="W22" s="15"/>
    </row>
    <row r="23" spans="1:23" x14ac:dyDescent="0.2">
      <c r="A23" s="15"/>
      <c r="B23" s="291">
        <v>17</v>
      </c>
      <c r="C23" s="31">
        <v>0.34229999999999999</v>
      </c>
      <c r="D23" s="15"/>
      <c r="E23" s="25">
        <f t="shared" si="6"/>
        <v>17085.580000000002</v>
      </c>
      <c r="F23" s="25">
        <f t="shared" si="12"/>
        <v>1220.4000000000001</v>
      </c>
      <c r="G23" s="15"/>
      <c r="H23" s="26">
        <f t="shared" si="7"/>
        <v>13446.78</v>
      </c>
      <c r="I23" s="26">
        <f t="shared" si="12"/>
        <v>960.48</v>
      </c>
      <c r="J23" s="15"/>
      <c r="K23" s="27">
        <f t="shared" si="2"/>
        <v>11774.84</v>
      </c>
      <c r="L23" s="27">
        <f t="shared" si="8"/>
        <v>841.06</v>
      </c>
      <c r="M23" s="15"/>
      <c r="N23" s="28">
        <f t="shared" si="3"/>
        <v>10327.36</v>
      </c>
      <c r="O23" s="28">
        <f t="shared" si="9"/>
        <v>737.67</v>
      </c>
      <c r="P23" s="15"/>
      <c r="Q23" s="29">
        <f t="shared" si="4"/>
        <v>8170.65</v>
      </c>
      <c r="R23" s="29">
        <f t="shared" si="10"/>
        <v>583.62</v>
      </c>
      <c r="S23" s="15"/>
      <c r="T23" s="30">
        <f t="shared" si="5"/>
        <v>6966.13</v>
      </c>
      <c r="U23" s="30">
        <f t="shared" si="11"/>
        <v>497.58</v>
      </c>
      <c r="V23" s="15"/>
      <c r="W23" s="15"/>
    </row>
    <row r="24" spans="1:23" x14ac:dyDescent="0.2">
      <c r="A24" s="15"/>
      <c r="B24" s="291">
        <v>18</v>
      </c>
      <c r="C24" s="31">
        <v>0.37880000000000003</v>
      </c>
      <c r="D24" s="15"/>
      <c r="E24" s="25">
        <f t="shared" si="6"/>
        <v>18907.45</v>
      </c>
      <c r="F24" s="25">
        <f t="shared" si="12"/>
        <v>1350.53</v>
      </c>
      <c r="G24" s="15"/>
      <c r="H24" s="26">
        <f t="shared" si="7"/>
        <v>14880.63</v>
      </c>
      <c r="I24" s="26">
        <f t="shared" si="12"/>
        <v>1062.9000000000001</v>
      </c>
      <c r="J24" s="15"/>
      <c r="K24" s="27">
        <f t="shared" si="2"/>
        <v>13030.41</v>
      </c>
      <c r="L24" s="27">
        <f t="shared" si="8"/>
        <v>930.74</v>
      </c>
      <c r="M24" s="15"/>
      <c r="N24" s="28">
        <f t="shared" si="3"/>
        <v>11428.58</v>
      </c>
      <c r="O24" s="28">
        <f t="shared" si="9"/>
        <v>816.33</v>
      </c>
      <c r="P24" s="15"/>
      <c r="Q24" s="29">
        <f t="shared" si="4"/>
        <v>9041.9</v>
      </c>
      <c r="R24" s="29">
        <f t="shared" si="10"/>
        <v>645.85</v>
      </c>
      <c r="S24" s="15"/>
      <c r="T24" s="30">
        <f t="shared" si="5"/>
        <v>7708.94</v>
      </c>
      <c r="U24" s="30">
        <f t="shared" si="11"/>
        <v>550.64</v>
      </c>
      <c r="V24" s="15"/>
      <c r="W24" s="15"/>
    </row>
    <row r="25" spans="1:23" x14ac:dyDescent="0.2">
      <c r="A25" s="15"/>
      <c r="B25" s="291">
        <v>19</v>
      </c>
      <c r="C25" s="31">
        <v>0.41539999999999999</v>
      </c>
      <c r="D25" s="15"/>
      <c r="E25" s="25">
        <f t="shared" si="6"/>
        <v>20734.3</v>
      </c>
      <c r="F25" s="25">
        <f t="shared" si="12"/>
        <v>1481.02</v>
      </c>
      <c r="G25" s="15"/>
      <c r="H25" s="26">
        <f t="shared" si="7"/>
        <v>16318.41</v>
      </c>
      <c r="I25" s="26">
        <f t="shared" si="12"/>
        <v>1165.5999999999999</v>
      </c>
      <c r="J25" s="15"/>
      <c r="K25" s="27">
        <f t="shared" si="2"/>
        <v>14289.42</v>
      </c>
      <c r="L25" s="27">
        <f t="shared" si="8"/>
        <v>1020.67</v>
      </c>
      <c r="M25" s="15"/>
      <c r="N25" s="28">
        <f t="shared" si="3"/>
        <v>12532.82</v>
      </c>
      <c r="O25" s="28">
        <f t="shared" si="9"/>
        <v>895.2</v>
      </c>
      <c r="P25" s="15"/>
      <c r="Q25" s="29">
        <f t="shared" si="4"/>
        <v>9915.5400000000009</v>
      </c>
      <c r="R25" s="29">
        <f t="shared" si="10"/>
        <v>708.25</v>
      </c>
      <c r="S25" s="15"/>
      <c r="T25" s="30">
        <f t="shared" si="5"/>
        <v>8453.7900000000009</v>
      </c>
      <c r="U25" s="30">
        <f t="shared" si="11"/>
        <v>603.84</v>
      </c>
      <c r="V25" s="15"/>
      <c r="W25" s="15"/>
    </row>
    <row r="26" spans="1:23" x14ac:dyDescent="0.2">
      <c r="A26" s="15"/>
      <c r="B26" s="291">
        <v>20</v>
      </c>
      <c r="C26" s="31">
        <v>0.45190000000000002</v>
      </c>
      <c r="D26" s="15"/>
      <c r="E26" s="25">
        <f t="shared" si="6"/>
        <v>22556.16</v>
      </c>
      <c r="F26" s="25">
        <f t="shared" si="12"/>
        <v>1611.15</v>
      </c>
      <c r="G26" s="15"/>
      <c r="H26" s="26">
        <f t="shared" si="7"/>
        <v>17752.259999999998</v>
      </c>
      <c r="I26" s="26">
        <f t="shared" si="12"/>
        <v>1268.02</v>
      </c>
      <c r="J26" s="15"/>
      <c r="K26" s="27">
        <f t="shared" si="2"/>
        <v>15544.99</v>
      </c>
      <c r="L26" s="27">
        <f t="shared" si="8"/>
        <v>1110.3599999999999</v>
      </c>
      <c r="M26" s="15"/>
      <c r="N26" s="28">
        <f t="shared" si="3"/>
        <v>13634.04</v>
      </c>
      <c r="O26" s="28">
        <f t="shared" si="9"/>
        <v>973.86</v>
      </c>
      <c r="P26" s="15"/>
      <c r="Q26" s="29">
        <f t="shared" si="4"/>
        <v>10786.79</v>
      </c>
      <c r="R26" s="29">
        <f t="shared" si="10"/>
        <v>770.49</v>
      </c>
      <c r="S26" s="15"/>
      <c r="T26" s="30">
        <f t="shared" si="5"/>
        <v>9196.6</v>
      </c>
      <c r="U26" s="30">
        <f t="shared" si="11"/>
        <v>656.9</v>
      </c>
      <c r="V26" s="15"/>
      <c r="W26" s="15"/>
    </row>
    <row r="27" spans="1:23" x14ac:dyDescent="0.2">
      <c r="A27" s="15"/>
      <c r="B27" s="291">
        <v>21</v>
      </c>
      <c r="C27" s="31">
        <v>0.4884</v>
      </c>
      <c r="D27" s="15"/>
      <c r="E27" s="25">
        <f t="shared" si="6"/>
        <v>24378.03</v>
      </c>
      <c r="F27" s="25">
        <f t="shared" si="12"/>
        <v>1741.29</v>
      </c>
      <c r="G27" s="15"/>
      <c r="H27" s="26">
        <f t="shared" si="7"/>
        <v>19186.12</v>
      </c>
      <c r="I27" s="26">
        <f t="shared" si="12"/>
        <v>1370.44</v>
      </c>
      <c r="J27" s="15"/>
      <c r="K27" s="27">
        <f t="shared" si="2"/>
        <v>16800.560000000001</v>
      </c>
      <c r="L27" s="27">
        <f t="shared" si="8"/>
        <v>1200.04</v>
      </c>
      <c r="M27" s="15"/>
      <c r="N27" s="28">
        <f t="shared" si="3"/>
        <v>14735.27</v>
      </c>
      <c r="O27" s="28">
        <f t="shared" si="9"/>
        <v>1052.52</v>
      </c>
      <c r="P27" s="15"/>
      <c r="Q27" s="29">
        <f t="shared" si="4"/>
        <v>11658.03</v>
      </c>
      <c r="R27" s="29">
        <f t="shared" si="10"/>
        <v>832.72</v>
      </c>
      <c r="S27" s="15"/>
      <c r="T27" s="30">
        <f t="shared" si="5"/>
        <v>9939.41</v>
      </c>
      <c r="U27" s="30">
        <f t="shared" si="11"/>
        <v>709.96</v>
      </c>
      <c r="V27" s="15"/>
      <c r="W27" s="15"/>
    </row>
    <row r="28" spans="1:23" x14ac:dyDescent="0.2">
      <c r="A28" s="15"/>
      <c r="B28" s="291">
        <v>22</v>
      </c>
      <c r="C28" s="31">
        <v>0.52500000000000002</v>
      </c>
      <c r="D28" s="15"/>
      <c r="E28" s="25">
        <f t="shared" si="6"/>
        <v>26204.880000000001</v>
      </c>
      <c r="F28" s="25">
        <f t="shared" si="12"/>
        <v>1871.78</v>
      </c>
      <c r="G28" s="15"/>
      <c r="H28" s="26">
        <f t="shared" si="7"/>
        <v>20623.900000000001</v>
      </c>
      <c r="I28" s="26">
        <f t="shared" si="12"/>
        <v>1473.14</v>
      </c>
      <c r="J28" s="15"/>
      <c r="K28" s="27">
        <f t="shared" si="2"/>
        <v>18059.57</v>
      </c>
      <c r="L28" s="27">
        <f t="shared" si="8"/>
        <v>1289.97</v>
      </c>
      <c r="M28" s="15"/>
      <c r="N28" s="28">
        <f t="shared" si="3"/>
        <v>15839.51</v>
      </c>
      <c r="O28" s="28">
        <f t="shared" si="9"/>
        <v>1131.3900000000001</v>
      </c>
      <c r="P28" s="15"/>
      <c r="Q28" s="29">
        <f t="shared" si="4"/>
        <v>12531.67</v>
      </c>
      <c r="R28" s="29">
        <f t="shared" si="10"/>
        <v>895.12</v>
      </c>
      <c r="S28" s="15"/>
      <c r="T28" s="30">
        <f t="shared" si="5"/>
        <v>10684.25</v>
      </c>
      <c r="U28" s="30">
        <f t="shared" si="11"/>
        <v>763.16</v>
      </c>
      <c r="V28" s="15"/>
      <c r="W28" s="15"/>
    </row>
    <row r="29" spans="1:23" x14ac:dyDescent="0.2">
      <c r="A29" s="15"/>
      <c r="B29" s="291">
        <v>23</v>
      </c>
      <c r="C29" s="31">
        <v>0.5615</v>
      </c>
      <c r="D29" s="15"/>
      <c r="E29" s="25">
        <f t="shared" si="6"/>
        <v>28026.74</v>
      </c>
      <c r="F29" s="25">
        <f t="shared" si="12"/>
        <v>2001.91</v>
      </c>
      <c r="G29" s="15"/>
      <c r="H29" s="26">
        <f t="shared" si="7"/>
        <v>22057.75</v>
      </c>
      <c r="I29" s="26">
        <f t="shared" si="12"/>
        <v>1575.55</v>
      </c>
      <c r="J29" s="15"/>
      <c r="K29" s="27">
        <f t="shared" si="2"/>
        <v>19315.14</v>
      </c>
      <c r="L29" s="27">
        <f t="shared" si="8"/>
        <v>1379.65</v>
      </c>
      <c r="M29" s="15"/>
      <c r="N29" s="28">
        <f t="shared" si="3"/>
        <v>16940.73</v>
      </c>
      <c r="O29" s="28">
        <f t="shared" si="9"/>
        <v>1210.05</v>
      </c>
      <c r="P29" s="15"/>
      <c r="Q29" s="29">
        <f t="shared" si="4"/>
        <v>13402.92</v>
      </c>
      <c r="R29" s="29">
        <f t="shared" si="10"/>
        <v>957.35</v>
      </c>
      <c r="S29" s="15"/>
      <c r="T29" s="30">
        <f t="shared" si="5"/>
        <v>11427.06</v>
      </c>
      <c r="U29" s="30">
        <f t="shared" si="11"/>
        <v>816.22</v>
      </c>
      <c r="V29" s="15"/>
      <c r="W29" s="15"/>
    </row>
    <row r="30" spans="1:23" x14ac:dyDescent="0.2">
      <c r="A30" s="15"/>
      <c r="B30" s="291">
        <v>24</v>
      </c>
      <c r="C30" s="31">
        <v>0.59809999999999997</v>
      </c>
      <c r="D30" s="15"/>
      <c r="E30" s="25">
        <f t="shared" si="6"/>
        <v>29853.599999999999</v>
      </c>
      <c r="F30" s="25">
        <f t="shared" si="12"/>
        <v>2132.4</v>
      </c>
      <c r="G30" s="15"/>
      <c r="H30" s="26">
        <f t="shared" si="7"/>
        <v>23495.53</v>
      </c>
      <c r="I30" s="26">
        <f t="shared" si="12"/>
        <v>1678.25</v>
      </c>
      <c r="J30" s="15"/>
      <c r="K30" s="27">
        <f t="shared" si="2"/>
        <v>20574.150000000001</v>
      </c>
      <c r="L30" s="27">
        <f t="shared" si="8"/>
        <v>1469.58</v>
      </c>
      <c r="M30" s="15"/>
      <c r="N30" s="28">
        <f t="shared" si="3"/>
        <v>18044.97</v>
      </c>
      <c r="O30" s="28">
        <f t="shared" si="9"/>
        <v>1288.93</v>
      </c>
      <c r="P30" s="15"/>
      <c r="Q30" s="29">
        <f t="shared" si="4"/>
        <v>14276.56</v>
      </c>
      <c r="R30" s="29">
        <f t="shared" si="10"/>
        <v>1019.75</v>
      </c>
      <c r="S30" s="15"/>
      <c r="T30" s="30">
        <f t="shared" si="5"/>
        <v>12171.91</v>
      </c>
      <c r="U30" s="30">
        <f t="shared" si="11"/>
        <v>869.42</v>
      </c>
      <c r="V30" s="15"/>
      <c r="W30" s="15"/>
    </row>
    <row r="31" spans="1:23" x14ac:dyDescent="0.2">
      <c r="A31" s="15"/>
      <c r="B31" s="291">
        <v>25</v>
      </c>
      <c r="C31" s="31">
        <v>0.63460000000000005</v>
      </c>
      <c r="D31" s="15"/>
      <c r="E31" s="25">
        <f t="shared" si="6"/>
        <v>31675.46</v>
      </c>
      <c r="F31" s="25">
        <f t="shared" si="12"/>
        <v>2262.5300000000002</v>
      </c>
      <c r="G31" s="15"/>
      <c r="H31" s="26">
        <f t="shared" si="7"/>
        <v>24929.38</v>
      </c>
      <c r="I31" s="26">
        <f t="shared" si="12"/>
        <v>1780.67</v>
      </c>
      <c r="J31" s="15"/>
      <c r="K31" s="27">
        <f t="shared" si="2"/>
        <v>21829.72</v>
      </c>
      <c r="L31" s="27">
        <f t="shared" si="8"/>
        <v>1559.27</v>
      </c>
      <c r="M31" s="15"/>
      <c r="N31" s="28">
        <f t="shared" si="3"/>
        <v>19146.189999999999</v>
      </c>
      <c r="O31" s="28">
        <f t="shared" si="9"/>
        <v>1367.59</v>
      </c>
      <c r="P31" s="15"/>
      <c r="Q31" s="29">
        <f t="shared" si="4"/>
        <v>15147.81</v>
      </c>
      <c r="R31" s="29">
        <f t="shared" si="10"/>
        <v>1081.99</v>
      </c>
      <c r="S31" s="15"/>
      <c r="T31" s="30">
        <f t="shared" si="5"/>
        <v>12914.72</v>
      </c>
      <c r="U31" s="30">
        <f t="shared" si="11"/>
        <v>922.48</v>
      </c>
      <c r="V31" s="15"/>
      <c r="W31" s="15"/>
    </row>
    <row r="32" spans="1:23" x14ac:dyDescent="0.2">
      <c r="A32" s="15"/>
      <c r="B32" s="291">
        <v>26</v>
      </c>
      <c r="C32" s="31">
        <v>0.67110000000000003</v>
      </c>
      <c r="D32" s="15"/>
      <c r="E32" s="25">
        <f t="shared" si="6"/>
        <v>33497.33</v>
      </c>
      <c r="F32" s="25">
        <f t="shared" si="12"/>
        <v>2392.67</v>
      </c>
      <c r="G32" s="15"/>
      <c r="H32" s="26">
        <f t="shared" si="7"/>
        <v>26363.23</v>
      </c>
      <c r="I32" s="26">
        <f t="shared" si="12"/>
        <v>1883.09</v>
      </c>
      <c r="J32" s="15"/>
      <c r="K32" s="27">
        <f t="shared" si="2"/>
        <v>23085.29</v>
      </c>
      <c r="L32" s="27">
        <f t="shared" si="8"/>
        <v>1648.95</v>
      </c>
      <c r="M32" s="15"/>
      <c r="N32" s="28">
        <f t="shared" si="3"/>
        <v>20247.419999999998</v>
      </c>
      <c r="O32" s="28">
        <f t="shared" si="9"/>
        <v>1446.24</v>
      </c>
      <c r="P32" s="15"/>
      <c r="Q32" s="29">
        <f t="shared" si="4"/>
        <v>16019.06</v>
      </c>
      <c r="R32" s="29">
        <f t="shared" si="10"/>
        <v>1144.22</v>
      </c>
      <c r="S32" s="15"/>
      <c r="T32" s="30">
        <f t="shared" si="5"/>
        <v>13657.53</v>
      </c>
      <c r="U32" s="30">
        <f t="shared" si="11"/>
        <v>975.54</v>
      </c>
      <c r="V32" s="15"/>
      <c r="W32" s="15"/>
    </row>
    <row r="33" spans="1:23" x14ac:dyDescent="0.2">
      <c r="A33" s="15"/>
      <c r="B33" s="291">
        <v>27</v>
      </c>
      <c r="C33" s="31">
        <v>0.7077</v>
      </c>
      <c r="D33" s="15"/>
      <c r="E33" s="25">
        <f t="shared" si="6"/>
        <v>35324.18</v>
      </c>
      <c r="F33" s="25">
        <f t="shared" si="12"/>
        <v>2523.16</v>
      </c>
      <c r="G33" s="15"/>
      <c r="H33" s="26">
        <f t="shared" si="7"/>
        <v>27801.01</v>
      </c>
      <c r="I33" s="26">
        <f t="shared" si="12"/>
        <v>1985.79</v>
      </c>
      <c r="J33" s="15"/>
      <c r="K33" s="27">
        <f t="shared" si="2"/>
        <v>24344.3</v>
      </c>
      <c r="L33" s="27">
        <f t="shared" si="8"/>
        <v>1738.88</v>
      </c>
      <c r="M33" s="15"/>
      <c r="N33" s="28">
        <f t="shared" si="3"/>
        <v>21351.66</v>
      </c>
      <c r="O33" s="28">
        <f t="shared" si="9"/>
        <v>1525.12</v>
      </c>
      <c r="P33" s="15"/>
      <c r="Q33" s="29">
        <f t="shared" si="4"/>
        <v>16892.689999999999</v>
      </c>
      <c r="R33" s="29">
        <f t="shared" si="10"/>
        <v>1206.6199999999999</v>
      </c>
      <c r="S33" s="15"/>
      <c r="T33" s="30">
        <f t="shared" si="5"/>
        <v>14402.37</v>
      </c>
      <c r="U33" s="30">
        <f t="shared" si="11"/>
        <v>1028.74</v>
      </c>
      <c r="V33" s="15"/>
      <c r="W33" s="15"/>
    </row>
    <row r="34" spans="1:23" x14ac:dyDescent="0.2">
      <c r="A34" s="15"/>
      <c r="B34" s="291">
        <v>28</v>
      </c>
      <c r="C34" s="31">
        <v>0.74419999999999997</v>
      </c>
      <c r="D34" s="15"/>
      <c r="E34" s="25">
        <f t="shared" si="6"/>
        <v>37146.04</v>
      </c>
      <c r="F34" s="25">
        <f t="shared" si="12"/>
        <v>2653.29</v>
      </c>
      <c r="G34" s="15"/>
      <c r="H34" s="26">
        <f t="shared" si="7"/>
        <v>29234.86</v>
      </c>
      <c r="I34" s="26">
        <f t="shared" si="12"/>
        <v>2088.1999999999998</v>
      </c>
      <c r="J34" s="15"/>
      <c r="K34" s="27">
        <f t="shared" si="2"/>
        <v>25599.87</v>
      </c>
      <c r="L34" s="27">
        <f t="shared" si="8"/>
        <v>1828.56</v>
      </c>
      <c r="M34" s="15"/>
      <c r="N34" s="28">
        <f t="shared" si="3"/>
        <v>22452.880000000001</v>
      </c>
      <c r="O34" s="28">
        <f t="shared" si="9"/>
        <v>1603.78</v>
      </c>
      <c r="P34" s="15"/>
      <c r="Q34" s="29">
        <f t="shared" si="4"/>
        <v>17763.939999999999</v>
      </c>
      <c r="R34" s="29">
        <f t="shared" si="10"/>
        <v>1268.8499999999999</v>
      </c>
      <c r="S34" s="15"/>
      <c r="T34" s="30">
        <f t="shared" si="5"/>
        <v>15145.18</v>
      </c>
      <c r="U34" s="30">
        <f t="shared" si="11"/>
        <v>1081.8</v>
      </c>
      <c r="V34" s="15"/>
      <c r="W34" s="15"/>
    </row>
    <row r="35" spans="1:23" x14ac:dyDescent="0.2">
      <c r="A35" s="15"/>
      <c r="B35" s="291">
        <v>29</v>
      </c>
      <c r="C35" s="31">
        <v>0.78080000000000005</v>
      </c>
      <c r="D35" s="15"/>
      <c r="E35" s="25">
        <f t="shared" si="6"/>
        <v>38972.9</v>
      </c>
      <c r="F35" s="25">
        <f t="shared" si="12"/>
        <v>2783.78</v>
      </c>
      <c r="G35" s="15"/>
      <c r="H35" s="26">
        <f t="shared" si="7"/>
        <v>30672.639999999999</v>
      </c>
      <c r="I35" s="26">
        <f t="shared" si="12"/>
        <v>2190.9</v>
      </c>
      <c r="J35" s="15"/>
      <c r="K35" s="27">
        <f t="shared" si="2"/>
        <v>26858.880000000001</v>
      </c>
      <c r="L35" s="27">
        <f t="shared" si="8"/>
        <v>1918.49</v>
      </c>
      <c r="M35" s="15"/>
      <c r="N35" s="28">
        <f t="shared" si="3"/>
        <v>23557.119999999999</v>
      </c>
      <c r="O35" s="28">
        <f t="shared" si="9"/>
        <v>1682.65</v>
      </c>
      <c r="P35" s="15"/>
      <c r="Q35" s="29">
        <f t="shared" si="4"/>
        <v>18637.580000000002</v>
      </c>
      <c r="R35" s="29">
        <f t="shared" si="10"/>
        <v>1331.26</v>
      </c>
      <c r="S35" s="15"/>
      <c r="T35" s="30">
        <f t="shared" si="5"/>
        <v>15890.03</v>
      </c>
      <c r="U35" s="30">
        <f t="shared" si="11"/>
        <v>1135</v>
      </c>
      <c r="V35" s="15"/>
      <c r="W35" s="15"/>
    </row>
    <row r="36" spans="1:23" x14ac:dyDescent="0.2">
      <c r="A36" s="15"/>
      <c r="B36" s="291">
        <v>30</v>
      </c>
      <c r="C36" s="31">
        <v>0.81730000000000003</v>
      </c>
      <c r="D36" s="15"/>
      <c r="E36" s="25">
        <f t="shared" si="6"/>
        <v>40794.76</v>
      </c>
      <c r="F36" s="25">
        <f t="shared" si="12"/>
        <v>2913.91</v>
      </c>
      <c r="G36" s="15"/>
      <c r="H36" s="26">
        <f t="shared" si="7"/>
        <v>32106.49</v>
      </c>
      <c r="I36" s="26">
        <f t="shared" si="12"/>
        <v>2293.3200000000002</v>
      </c>
      <c r="J36" s="15"/>
      <c r="K36" s="27">
        <f t="shared" si="2"/>
        <v>28114.45</v>
      </c>
      <c r="L36" s="27">
        <f t="shared" si="8"/>
        <v>2008.18</v>
      </c>
      <c r="M36" s="15"/>
      <c r="N36" s="28">
        <f t="shared" si="3"/>
        <v>24658.34</v>
      </c>
      <c r="O36" s="28">
        <f t="shared" si="9"/>
        <v>1761.31</v>
      </c>
      <c r="P36" s="15"/>
      <c r="Q36" s="29">
        <f t="shared" si="4"/>
        <v>19508.830000000002</v>
      </c>
      <c r="R36" s="29">
        <f t="shared" si="10"/>
        <v>1393.49</v>
      </c>
      <c r="S36" s="15"/>
      <c r="T36" s="30">
        <f t="shared" si="5"/>
        <v>16632.84</v>
      </c>
      <c r="U36" s="30">
        <f t="shared" si="11"/>
        <v>1188.06</v>
      </c>
      <c r="V36" s="15"/>
      <c r="W36" s="15"/>
    </row>
    <row r="37" spans="1:23" x14ac:dyDescent="0.2">
      <c r="A37" s="15"/>
      <c r="B37" s="291">
        <v>31</v>
      </c>
      <c r="C37" s="31">
        <v>0.8538</v>
      </c>
      <c r="D37" s="15"/>
      <c r="E37" s="25">
        <f t="shared" si="6"/>
        <v>42616.62</v>
      </c>
      <c r="F37" s="25">
        <f t="shared" si="12"/>
        <v>3044.04</v>
      </c>
      <c r="G37" s="15"/>
      <c r="H37" s="26">
        <f t="shared" si="7"/>
        <v>33540.35</v>
      </c>
      <c r="I37" s="26">
        <f t="shared" si="12"/>
        <v>2395.7399999999998</v>
      </c>
      <c r="J37" s="15"/>
      <c r="K37" s="27">
        <f t="shared" si="2"/>
        <v>29370.02</v>
      </c>
      <c r="L37" s="27">
        <f t="shared" si="8"/>
        <v>2097.86</v>
      </c>
      <c r="M37" s="15"/>
      <c r="N37" s="28">
        <f t="shared" si="3"/>
        <v>25759.56</v>
      </c>
      <c r="O37" s="28">
        <f t="shared" si="9"/>
        <v>1839.97</v>
      </c>
      <c r="P37" s="15"/>
      <c r="Q37" s="29">
        <f t="shared" si="4"/>
        <v>20380.080000000002</v>
      </c>
      <c r="R37" s="29">
        <f t="shared" si="10"/>
        <v>1455.72</v>
      </c>
      <c r="S37" s="15"/>
      <c r="T37" s="30">
        <f t="shared" si="5"/>
        <v>17375.650000000001</v>
      </c>
      <c r="U37" s="30">
        <f t="shared" si="11"/>
        <v>1241.1199999999999</v>
      </c>
      <c r="V37" s="15"/>
      <c r="W37" s="15"/>
    </row>
    <row r="38" spans="1:23" x14ac:dyDescent="0.2">
      <c r="A38" s="15"/>
      <c r="B38" s="291">
        <v>32</v>
      </c>
      <c r="C38" s="31">
        <v>0.89039999999999997</v>
      </c>
      <c r="D38" s="15"/>
      <c r="E38" s="25">
        <f t="shared" si="6"/>
        <v>44443.48</v>
      </c>
      <c r="F38" s="25">
        <f t="shared" ref="F38:I41" si="13">ROUND(+E38/14,2)</f>
        <v>3174.53</v>
      </c>
      <c r="G38" s="15"/>
      <c r="H38" s="26">
        <f t="shared" si="7"/>
        <v>34978.129999999997</v>
      </c>
      <c r="I38" s="26">
        <f t="shared" si="13"/>
        <v>2498.44</v>
      </c>
      <c r="J38" s="15"/>
      <c r="K38" s="27">
        <f t="shared" si="2"/>
        <v>30629.03</v>
      </c>
      <c r="L38" s="27">
        <f t="shared" si="8"/>
        <v>2187.79</v>
      </c>
      <c r="M38" s="15"/>
      <c r="N38" s="28">
        <f t="shared" si="3"/>
        <v>26863.8</v>
      </c>
      <c r="O38" s="28">
        <f t="shared" si="9"/>
        <v>1918.84</v>
      </c>
      <c r="P38" s="15"/>
      <c r="Q38" s="29">
        <f t="shared" si="4"/>
        <v>21253.71</v>
      </c>
      <c r="R38" s="29">
        <f t="shared" si="10"/>
        <v>1518.12</v>
      </c>
      <c r="S38" s="15"/>
      <c r="T38" s="30">
        <f t="shared" si="5"/>
        <v>18120.490000000002</v>
      </c>
      <c r="U38" s="30">
        <f t="shared" si="11"/>
        <v>1294.32</v>
      </c>
      <c r="V38" s="15"/>
      <c r="W38" s="15"/>
    </row>
    <row r="39" spans="1:23" x14ac:dyDescent="0.2">
      <c r="A39" s="15"/>
      <c r="B39" s="291">
        <v>33</v>
      </c>
      <c r="C39" s="31">
        <v>0.92689999999999995</v>
      </c>
      <c r="D39" s="15"/>
      <c r="E39" s="25">
        <f t="shared" si="6"/>
        <v>44450.559999999998</v>
      </c>
      <c r="F39" s="25">
        <f t="shared" si="13"/>
        <v>3175.04</v>
      </c>
      <c r="G39" s="15"/>
      <c r="H39" s="26">
        <f t="shared" si="7"/>
        <v>36411.980000000003</v>
      </c>
      <c r="I39" s="26">
        <f t="shared" si="13"/>
        <v>2600.86</v>
      </c>
      <c r="J39" s="15"/>
      <c r="K39" s="27">
        <f t="shared" si="2"/>
        <v>31884.6</v>
      </c>
      <c r="L39" s="27">
        <f t="shared" si="8"/>
        <v>2277.4699999999998</v>
      </c>
      <c r="M39" s="15"/>
      <c r="N39" s="28">
        <f t="shared" si="3"/>
        <v>27965.03</v>
      </c>
      <c r="O39" s="28">
        <f t="shared" si="9"/>
        <v>1997.5</v>
      </c>
      <c r="P39" s="15"/>
      <c r="Q39" s="29">
        <f t="shared" si="4"/>
        <v>22124.959999999999</v>
      </c>
      <c r="R39" s="29">
        <f t="shared" si="10"/>
        <v>1580.35</v>
      </c>
      <c r="S39" s="15"/>
      <c r="T39" s="30">
        <f t="shared" si="5"/>
        <v>18863.3</v>
      </c>
      <c r="U39" s="30">
        <f t="shared" si="11"/>
        <v>1347.38</v>
      </c>
      <c r="V39" s="15"/>
      <c r="W39" s="15"/>
    </row>
    <row r="40" spans="1:23" x14ac:dyDescent="0.2">
      <c r="A40" s="15"/>
      <c r="B40" s="291">
        <v>34</v>
      </c>
      <c r="C40" s="31">
        <v>0.96350000000000002</v>
      </c>
      <c r="D40" s="15"/>
      <c r="E40" s="25">
        <f t="shared" si="6"/>
        <v>44450.559999999998</v>
      </c>
      <c r="F40" s="25">
        <f t="shared" si="13"/>
        <v>3175.04</v>
      </c>
      <c r="G40" s="15"/>
      <c r="H40" s="26">
        <f t="shared" si="7"/>
        <v>37849.760000000002</v>
      </c>
      <c r="I40" s="26">
        <f t="shared" si="13"/>
        <v>2703.55</v>
      </c>
      <c r="J40" s="15"/>
      <c r="K40" s="27">
        <f t="shared" si="2"/>
        <v>33143.61</v>
      </c>
      <c r="L40" s="27">
        <f t="shared" si="8"/>
        <v>2367.4</v>
      </c>
      <c r="M40" s="15"/>
      <c r="N40" s="28">
        <f t="shared" si="3"/>
        <v>29069.27</v>
      </c>
      <c r="O40" s="28">
        <f t="shared" si="9"/>
        <v>2076.38</v>
      </c>
      <c r="P40" s="15"/>
      <c r="Q40" s="29">
        <f t="shared" si="4"/>
        <v>22998.6</v>
      </c>
      <c r="R40" s="29">
        <f t="shared" si="10"/>
        <v>1642.76</v>
      </c>
      <c r="S40" s="15"/>
      <c r="T40" s="30">
        <f t="shared" si="5"/>
        <v>19608.150000000001</v>
      </c>
      <c r="U40" s="30">
        <f t="shared" si="11"/>
        <v>1400.58</v>
      </c>
      <c r="V40" s="15"/>
      <c r="W40" s="15"/>
    </row>
    <row r="41" spans="1:23" x14ac:dyDescent="0.2">
      <c r="A41" s="15"/>
      <c r="B41" s="291">
        <v>35</v>
      </c>
      <c r="C41" s="31">
        <v>1</v>
      </c>
      <c r="D41" s="15"/>
      <c r="E41" s="25">
        <f t="shared" si="6"/>
        <v>44450.559999999998</v>
      </c>
      <c r="F41" s="25">
        <f t="shared" si="13"/>
        <v>3175.04</v>
      </c>
      <c r="G41" s="15"/>
      <c r="H41" s="26">
        <f t="shared" si="7"/>
        <v>39283.61</v>
      </c>
      <c r="I41" s="26">
        <f t="shared" si="13"/>
        <v>2805.97</v>
      </c>
      <c r="J41" s="15"/>
      <c r="K41" s="27">
        <f t="shared" si="2"/>
        <v>34399.18</v>
      </c>
      <c r="L41" s="27">
        <f t="shared" si="8"/>
        <v>2457.08</v>
      </c>
      <c r="M41" s="15"/>
      <c r="N41" s="28">
        <f t="shared" si="3"/>
        <v>30170.49</v>
      </c>
      <c r="O41" s="28">
        <f t="shared" si="9"/>
        <v>2155.04</v>
      </c>
      <c r="P41" s="15"/>
      <c r="Q41" s="29">
        <f t="shared" si="4"/>
        <v>23869.85</v>
      </c>
      <c r="R41" s="29">
        <f t="shared" si="10"/>
        <v>1704.99</v>
      </c>
      <c r="S41" s="15"/>
      <c r="T41" s="30">
        <f t="shared" si="5"/>
        <v>20350.96</v>
      </c>
      <c r="U41" s="30">
        <f t="shared" si="11"/>
        <v>1453.64</v>
      </c>
      <c r="V41" s="15"/>
      <c r="W41" s="15"/>
    </row>
    <row r="42" spans="1:23" x14ac:dyDescent="0.2">
      <c r="A42" s="15"/>
      <c r="B42" s="15"/>
      <c r="C42" s="15"/>
      <c r="D42" s="15"/>
      <c r="E42" s="15"/>
      <c r="F42" s="15"/>
      <c r="G42" s="15"/>
      <c r="H42" s="15"/>
      <c r="I42" s="15"/>
      <c r="J42" s="15"/>
      <c r="K42" s="15"/>
      <c r="L42" s="15"/>
      <c r="M42" s="15"/>
      <c r="N42" s="15"/>
      <c r="O42" s="15"/>
      <c r="P42" s="15"/>
      <c r="Q42" s="15"/>
      <c r="R42" s="15"/>
      <c r="S42" s="15"/>
      <c r="T42" s="15"/>
      <c r="U42" s="15"/>
      <c r="V42" s="15"/>
      <c r="W42" s="15"/>
    </row>
    <row r="43" spans="1:23" x14ac:dyDescent="0.2">
      <c r="A43" s="15"/>
      <c r="B43" s="15"/>
      <c r="C43" s="15"/>
      <c r="D43" s="15"/>
      <c r="E43" s="305" t="s">
        <v>62</v>
      </c>
      <c r="F43" s="96"/>
      <c r="G43" s="96"/>
      <c r="H43" s="97"/>
      <c r="I43" s="342">
        <v>44450.559999999998</v>
      </c>
      <c r="J43" s="15"/>
      <c r="K43" s="392" t="s">
        <v>430</v>
      </c>
      <c r="L43" s="15"/>
      <c r="M43" s="15"/>
      <c r="N43" s="15"/>
      <c r="O43" s="15"/>
      <c r="P43" s="15"/>
      <c r="Q43" s="15"/>
      <c r="R43" s="15"/>
      <c r="S43" s="15"/>
      <c r="T43" s="15"/>
      <c r="U43" s="15"/>
      <c r="V43" s="15"/>
      <c r="W43" s="15"/>
    </row>
    <row r="44" spans="1:23" x14ac:dyDescent="0.2">
      <c r="A44" s="15"/>
      <c r="B44" s="15"/>
      <c r="C44" s="15"/>
      <c r="D44" s="15"/>
      <c r="E44" s="305" t="s">
        <v>63</v>
      </c>
      <c r="F44" s="96"/>
      <c r="G44" s="96"/>
      <c r="H44" s="97"/>
      <c r="I44" s="342">
        <f>+I43/14</f>
        <v>3175.04</v>
      </c>
      <c r="J44" s="15"/>
      <c r="K44" s="392" t="s">
        <v>431</v>
      </c>
      <c r="L44" s="15"/>
      <c r="M44" s="15"/>
      <c r="N44" s="15"/>
      <c r="O44" s="15"/>
      <c r="P44" s="15"/>
      <c r="Q44" s="15"/>
      <c r="R44" s="15"/>
      <c r="S44" s="15"/>
      <c r="T44" s="15"/>
      <c r="U44" s="15"/>
      <c r="V44" s="15"/>
      <c r="W44" s="15"/>
    </row>
    <row r="45" spans="1:23" x14ac:dyDescent="0.2">
      <c r="A45" s="15"/>
      <c r="B45" s="15"/>
      <c r="C45" s="15"/>
      <c r="D45" s="15"/>
      <c r="E45" s="15"/>
      <c r="F45" s="15"/>
      <c r="G45" s="15"/>
      <c r="H45" s="15"/>
      <c r="I45" s="15"/>
      <c r="J45" s="15"/>
      <c r="K45" s="393"/>
      <c r="L45" s="15"/>
      <c r="M45" s="15"/>
      <c r="N45" s="15"/>
      <c r="O45" s="15"/>
      <c r="P45" s="15"/>
      <c r="Q45" s="15"/>
      <c r="R45" s="15"/>
      <c r="S45" s="15"/>
      <c r="T45" s="15"/>
      <c r="U45" s="15"/>
      <c r="V45" s="15"/>
      <c r="W45" s="15"/>
    </row>
    <row r="46" spans="1:23" x14ac:dyDescent="0.2">
      <c r="A46" s="15"/>
      <c r="B46" s="15"/>
      <c r="C46" s="15"/>
      <c r="D46" s="15"/>
      <c r="E46" s="305" t="s">
        <v>420</v>
      </c>
      <c r="F46" s="96"/>
      <c r="G46" s="96"/>
      <c r="H46" s="97"/>
      <c r="I46" s="342">
        <f>30.4*1.038</f>
        <v>31.555199999999999</v>
      </c>
      <c r="J46" s="15"/>
      <c r="K46" s="392" t="s">
        <v>431</v>
      </c>
      <c r="L46" s="15"/>
      <c r="M46" s="15"/>
      <c r="N46" s="15"/>
      <c r="O46" s="15"/>
      <c r="P46" s="15"/>
      <c r="Q46" s="15"/>
      <c r="R46" s="15"/>
      <c r="S46" s="15"/>
      <c r="T46" s="15"/>
      <c r="U46" s="15"/>
      <c r="V46" s="15"/>
      <c r="W46" s="15"/>
    </row>
    <row r="47" spans="1:23" x14ac:dyDescent="0.2">
      <c r="A47" s="15"/>
      <c r="B47" s="15"/>
      <c r="C47" s="15"/>
      <c r="D47" s="15"/>
      <c r="E47" s="15"/>
      <c r="F47" s="15"/>
      <c r="G47" s="15"/>
      <c r="H47" s="15"/>
      <c r="I47" s="15"/>
      <c r="J47" s="15"/>
      <c r="K47" s="15"/>
      <c r="L47" s="15"/>
      <c r="M47" s="15"/>
      <c r="N47" s="15"/>
      <c r="O47" s="15"/>
      <c r="P47" s="15"/>
      <c r="Q47" s="15"/>
      <c r="R47" s="15"/>
      <c r="S47" s="15"/>
      <c r="T47" s="15"/>
      <c r="U47" s="15"/>
      <c r="V47" s="15"/>
      <c r="W47" s="15"/>
    </row>
    <row r="48" spans="1:23" ht="62.25" customHeight="1" x14ac:dyDescent="0.2">
      <c r="A48" s="15"/>
      <c r="B48" s="15"/>
      <c r="C48" s="15"/>
      <c r="D48" s="15"/>
      <c r="E48" s="482" t="s">
        <v>423</v>
      </c>
      <c r="F48" s="482"/>
      <c r="G48" s="482"/>
      <c r="H48" s="482"/>
      <c r="I48" s="482"/>
      <c r="J48" s="482"/>
      <c r="K48" s="482"/>
      <c r="L48" s="482"/>
      <c r="M48" s="482"/>
      <c r="N48" s="482"/>
      <c r="O48" s="482"/>
      <c r="P48" s="482"/>
      <c r="Q48" s="482"/>
      <c r="R48" s="482"/>
      <c r="S48" s="15"/>
      <c r="T48" s="15"/>
      <c r="U48" s="15"/>
      <c r="V48" s="15"/>
      <c r="W48" s="15"/>
    </row>
    <row r="49" spans="1:23" ht="4.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row>
    <row r="50" spans="1:23" ht="30" customHeight="1" x14ac:dyDescent="0.2">
      <c r="A50" s="15"/>
      <c r="B50" s="15"/>
      <c r="C50" s="15"/>
      <c r="D50" s="15"/>
      <c r="E50" s="482" t="s">
        <v>424</v>
      </c>
      <c r="F50" s="482"/>
      <c r="G50" s="482"/>
      <c r="H50" s="482"/>
      <c r="I50" s="482"/>
      <c r="J50" s="482"/>
      <c r="K50" s="482"/>
      <c r="L50" s="482"/>
      <c r="M50" s="482"/>
      <c r="N50" s="482"/>
      <c r="O50" s="482"/>
      <c r="P50" s="482"/>
      <c r="Q50" s="482"/>
      <c r="R50" s="482"/>
      <c r="S50" s="15"/>
      <c r="T50" s="15"/>
      <c r="U50" s="15"/>
      <c r="V50" s="15"/>
      <c r="W50" s="15"/>
    </row>
    <row r="51" spans="1:23" ht="5.2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row>
    <row r="52" spans="1:23" ht="90.75" customHeight="1" x14ac:dyDescent="0.2">
      <c r="A52" s="15"/>
      <c r="B52" s="15"/>
      <c r="C52" s="15"/>
      <c r="D52" s="15"/>
      <c r="E52" s="483" t="s">
        <v>425</v>
      </c>
      <c r="F52" s="483"/>
      <c r="G52" s="483"/>
      <c r="H52" s="483"/>
      <c r="I52" s="483"/>
      <c r="J52" s="483"/>
      <c r="K52" s="483"/>
      <c r="L52" s="483"/>
      <c r="M52" s="483"/>
      <c r="N52" s="483"/>
      <c r="O52" s="483"/>
      <c r="P52" s="483"/>
      <c r="Q52" s="483"/>
      <c r="R52" s="483"/>
      <c r="S52" s="15"/>
      <c r="T52" s="15"/>
      <c r="U52" s="15"/>
      <c r="V52" s="15"/>
      <c r="W52" s="15"/>
    </row>
    <row r="53" spans="1:23" ht="19.5" customHeight="1" x14ac:dyDescent="0.2">
      <c r="A53" s="15"/>
      <c r="B53" s="15"/>
      <c r="C53" s="15"/>
      <c r="D53" s="15"/>
      <c r="E53" s="485" t="s">
        <v>427</v>
      </c>
      <c r="F53" s="485"/>
      <c r="G53" s="485"/>
      <c r="H53" s="485"/>
      <c r="I53" s="485"/>
      <c r="J53" s="485"/>
      <c r="K53" s="485"/>
      <c r="L53" s="485"/>
      <c r="M53" s="485"/>
      <c r="N53" s="485"/>
      <c r="O53" s="485"/>
      <c r="P53" s="485"/>
      <c r="Q53" s="485"/>
      <c r="R53" s="485"/>
      <c r="S53" s="15"/>
      <c r="T53" s="15"/>
      <c r="U53" s="15"/>
      <c r="V53" s="15"/>
      <c r="W53" s="15"/>
    </row>
    <row r="54" spans="1:23" ht="33.75" customHeight="1" x14ac:dyDescent="0.2">
      <c r="A54" s="15"/>
      <c r="B54" s="15"/>
      <c r="C54" s="15"/>
      <c r="D54" s="15"/>
      <c r="E54" s="484" t="s">
        <v>426</v>
      </c>
      <c r="F54" s="484"/>
      <c r="G54" s="484"/>
      <c r="H54" s="484"/>
      <c r="I54" s="484"/>
      <c r="J54" s="484"/>
      <c r="K54" s="484"/>
      <c r="L54" s="484"/>
      <c r="M54" s="484"/>
      <c r="N54" s="484"/>
      <c r="O54" s="484"/>
      <c r="P54" s="484"/>
      <c r="Q54" s="484"/>
      <c r="R54" s="484"/>
      <c r="S54" s="15"/>
      <c r="T54" s="15"/>
      <c r="U54" s="15"/>
      <c r="V54" s="15"/>
      <c r="W54" s="15"/>
    </row>
    <row r="55" spans="1:23" x14ac:dyDescent="0.2">
      <c r="A55" s="15"/>
      <c r="B55" s="15"/>
      <c r="C55" s="15"/>
      <c r="D55" s="15"/>
      <c r="E55" s="15"/>
      <c r="F55" s="15"/>
      <c r="G55" s="15"/>
      <c r="H55" s="15"/>
      <c r="I55" s="15"/>
      <c r="J55" s="15"/>
      <c r="K55" s="15"/>
      <c r="L55" s="15"/>
      <c r="M55" s="15"/>
      <c r="N55" s="15"/>
      <c r="O55" s="15"/>
      <c r="P55" s="15"/>
      <c r="Q55" s="15"/>
      <c r="R55" s="15"/>
      <c r="S55" s="15"/>
      <c r="T55" s="15"/>
      <c r="U55" s="15"/>
      <c r="V55" s="15"/>
      <c r="W55" s="15"/>
    </row>
    <row r="56" spans="1:23" x14ac:dyDescent="0.2">
      <c r="A56" s="15"/>
      <c r="B56" s="15"/>
      <c r="C56" s="15"/>
      <c r="D56" s="15"/>
      <c r="E56" s="15"/>
      <c r="F56" s="15"/>
      <c r="G56" s="15"/>
      <c r="H56" s="15"/>
      <c r="I56" s="15"/>
      <c r="J56" s="15"/>
      <c r="K56" s="15"/>
      <c r="L56" s="15"/>
      <c r="M56" s="15"/>
      <c r="N56" s="15"/>
      <c r="O56" s="15"/>
      <c r="P56" s="15"/>
      <c r="Q56" s="15"/>
      <c r="R56" s="15"/>
      <c r="S56" s="15"/>
      <c r="T56" s="15"/>
      <c r="U56" s="15"/>
      <c r="V56" s="15"/>
      <c r="W56" s="15"/>
    </row>
    <row r="57" spans="1:23" x14ac:dyDescent="0.2">
      <c r="A57" s="15"/>
      <c r="B57" s="15"/>
      <c r="C57" s="15"/>
      <c r="D57" s="15"/>
      <c r="E57" s="15"/>
      <c r="F57" s="15"/>
      <c r="G57" s="15"/>
      <c r="H57" s="15"/>
      <c r="I57" s="15"/>
      <c r="J57" s="15"/>
      <c r="K57" s="15"/>
      <c r="L57" s="15"/>
      <c r="M57" s="15"/>
      <c r="N57" s="15"/>
      <c r="O57" s="15"/>
      <c r="P57" s="15"/>
      <c r="Q57" s="15"/>
      <c r="R57" s="15"/>
      <c r="S57" s="15"/>
      <c r="T57" s="15"/>
      <c r="U57" s="15"/>
      <c r="V57" s="15"/>
      <c r="W57" s="15"/>
    </row>
    <row r="58" spans="1:23" x14ac:dyDescent="0.2">
      <c r="A58" s="15"/>
      <c r="B58" s="15"/>
      <c r="C58" s="15"/>
      <c r="D58" s="15"/>
      <c r="E58" s="15"/>
      <c r="F58" s="15"/>
      <c r="G58" s="15"/>
      <c r="H58" s="15"/>
      <c r="I58" s="15"/>
      <c r="J58" s="15"/>
      <c r="K58" s="15"/>
      <c r="L58" s="15"/>
      <c r="M58" s="15"/>
      <c r="N58" s="15"/>
      <c r="O58" s="15"/>
      <c r="P58" s="15"/>
      <c r="Q58" s="15"/>
      <c r="R58" s="15"/>
      <c r="S58" s="15"/>
      <c r="T58" s="15"/>
      <c r="U58" s="15"/>
      <c r="V58" s="15"/>
      <c r="W58" s="15"/>
    </row>
    <row r="59" spans="1:23" x14ac:dyDescent="0.2">
      <c r="A59" s="15"/>
      <c r="B59" s="15"/>
      <c r="C59" s="15"/>
      <c r="D59" s="15"/>
      <c r="E59" s="15"/>
      <c r="F59" s="15"/>
      <c r="G59" s="15"/>
      <c r="H59" s="15"/>
      <c r="I59" s="306"/>
      <c r="J59" s="15"/>
      <c r="K59" s="15"/>
      <c r="L59" s="15"/>
      <c r="M59" s="15"/>
      <c r="N59" s="15"/>
      <c r="O59" s="15"/>
      <c r="P59" s="15"/>
      <c r="Q59" s="15"/>
      <c r="R59" s="15"/>
      <c r="S59" s="15"/>
      <c r="T59" s="15"/>
      <c r="U59" s="15"/>
      <c r="V59" s="15"/>
      <c r="W59" s="15"/>
    </row>
    <row r="60" spans="1:23" x14ac:dyDescent="0.2">
      <c r="A60" s="15"/>
      <c r="B60" s="15"/>
      <c r="C60" s="15"/>
      <c r="D60" s="15"/>
      <c r="E60" s="15"/>
      <c r="F60" s="15"/>
      <c r="G60" s="15"/>
      <c r="H60" s="15"/>
      <c r="I60" s="15"/>
      <c r="J60" s="15"/>
      <c r="K60" s="15"/>
      <c r="L60" s="15"/>
      <c r="M60" s="15"/>
      <c r="N60" s="15"/>
      <c r="O60" s="15"/>
      <c r="P60" s="15"/>
      <c r="Q60" s="15"/>
      <c r="R60" s="15"/>
      <c r="S60" s="15"/>
      <c r="T60" s="15"/>
      <c r="U60" s="15"/>
      <c r="V60" s="15"/>
      <c r="W60" s="15"/>
    </row>
    <row r="61" spans="1:23" x14ac:dyDescent="0.2">
      <c r="A61" s="15"/>
      <c r="B61" s="15"/>
      <c r="C61" s="15"/>
      <c r="D61" s="15"/>
      <c r="E61" s="15"/>
      <c r="F61" s="15"/>
      <c r="G61" s="15"/>
      <c r="H61" s="15"/>
      <c r="I61" s="15"/>
      <c r="J61" s="15"/>
      <c r="K61" s="15"/>
      <c r="L61" s="15"/>
      <c r="M61" s="15"/>
      <c r="N61" s="15"/>
      <c r="O61" s="15"/>
      <c r="P61" s="15"/>
      <c r="Q61" s="15"/>
      <c r="R61" s="15"/>
      <c r="S61" s="15"/>
      <c r="T61" s="15"/>
      <c r="U61" s="15"/>
      <c r="V61" s="15"/>
      <c r="W61" s="15"/>
    </row>
    <row r="62" spans="1:23" x14ac:dyDescent="0.2">
      <c r="A62" s="15"/>
      <c r="B62" s="15"/>
      <c r="C62" s="15"/>
      <c r="D62" s="15"/>
      <c r="E62" s="15"/>
      <c r="F62" s="15"/>
      <c r="G62" s="15"/>
      <c r="H62" s="15"/>
      <c r="I62" s="15"/>
      <c r="J62" s="15"/>
      <c r="K62" s="15"/>
      <c r="L62" s="15"/>
      <c r="M62" s="15"/>
      <c r="N62" s="15"/>
      <c r="O62" s="15"/>
      <c r="P62" s="15"/>
      <c r="Q62" s="15"/>
      <c r="R62" s="15"/>
      <c r="S62" s="15"/>
      <c r="T62" s="15"/>
      <c r="U62" s="15"/>
      <c r="V62" s="15"/>
      <c r="W62" s="15"/>
    </row>
    <row r="63" spans="1:23" x14ac:dyDescent="0.2">
      <c r="A63" s="15"/>
      <c r="B63" s="15"/>
      <c r="C63" s="15"/>
      <c r="D63" s="15"/>
      <c r="E63" s="15"/>
      <c r="F63" s="15"/>
      <c r="G63" s="15"/>
      <c r="H63" s="15"/>
      <c r="I63" s="15"/>
      <c r="J63" s="15"/>
      <c r="K63" s="15"/>
      <c r="L63" s="15"/>
      <c r="M63" s="15"/>
      <c r="N63" s="15"/>
      <c r="O63" s="15"/>
      <c r="P63" s="15"/>
      <c r="Q63" s="15"/>
      <c r="R63" s="15"/>
      <c r="S63" s="15"/>
      <c r="T63" s="15"/>
      <c r="U63" s="15"/>
      <c r="V63" s="15"/>
      <c r="W63" s="15"/>
    </row>
  </sheetData>
  <sheetProtection algorithmName="SHA-512" hashValue="giDIEbjU2jCGaTB8se7OFdlrcrq/ortTD6mMVfzDLc9v/oO4WUjjdxcaksKsvPrdNAf8rLgSTfSpzGGfhufHhQ==" saltValue="TH5DI5s4r7etkKfxiiKgLg==" spinCount="100000" sheet="1" selectLockedCells="1"/>
  <mergeCells count="14">
    <mergeCell ref="B1:U1"/>
    <mergeCell ref="B5:C5"/>
    <mergeCell ref="B4:C4"/>
    <mergeCell ref="N4:O4"/>
    <mergeCell ref="Q4:R4"/>
    <mergeCell ref="T4:U4"/>
    <mergeCell ref="E4:F4"/>
    <mergeCell ref="H4:I4"/>
    <mergeCell ref="K4:L4"/>
    <mergeCell ref="E48:R48"/>
    <mergeCell ref="E50:R50"/>
    <mergeCell ref="E52:R52"/>
    <mergeCell ref="E54:R54"/>
    <mergeCell ref="E53:R53"/>
  </mergeCells>
  <hyperlinks>
    <hyperlink ref="E53" r:id="rId1" location="a7-10" display="https://www.boe.es/buscar/act.php?id=BOE-A-2023-26452&amp;p=20231228&amp;tn=1 - a7-10" xr:uid="{696AB901-9A8F-4A4F-B440-03D17554A34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Z171"/>
  <sheetViews>
    <sheetView workbookViewId="0">
      <selection activeCell="P60" sqref="P60"/>
    </sheetView>
    <sheetView tabSelected="1" topLeftCell="XFD1048576" workbookViewId="1">
      <pane xSplit="14265" ySplit="6075" topLeftCell="XFD1048576"/>
      <selection pane="topRight" activeCell="O1" sqref="O1"/>
      <selection pane="bottomLeft" activeCell="A24" sqref="A24"/>
      <selection pane="bottomRight" activeCell="O24" sqref="O24"/>
    </sheetView>
  </sheetViews>
  <sheetFormatPr baseColWidth="10" defaultRowHeight="12.75" x14ac:dyDescent="0.2"/>
  <cols>
    <col min="1" max="1" width="3" style="1" bestFit="1" customWidth="1"/>
    <col min="2" max="2" width="3.28515625" style="1" bestFit="1" customWidth="1"/>
    <col min="3" max="3" width="38.140625" style="1" bestFit="1" customWidth="1"/>
    <col min="4" max="4" width="9.28515625" style="1" customWidth="1"/>
    <col min="5" max="5" width="10.140625" style="1" customWidth="1"/>
    <col min="6" max="6" width="9.42578125" style="1" customWidth="1"/>
    <col min="7" max="7" width="9.28515625" style="1" customWidth="1"/>
    <col min="8" max="8" width="9.85546875" style="1" customWidth="1"/>
    <col min="9" max="9" width="9.7109375" style="1" customWidth="1"/>
    <col min="10" max="10" width="8.28515625" style="1" bestFit="1" customWidth="1"/>
    <col min="11" max="11" width="10.140625" style="1" customWidth="1"/>
    <col min="12" max="12" width="9.28515625" style="1" customWidth="1"/>
    <col min="13" max="13" width="8.85546875" style="1" bestFit="1" customWidth="1"/>
    <col min="14" max="14" width="8.140625" style="1" customWidth="1"/>
    <col min="15" max="15" width="85.140625" style="1" bestFit="1" customWidth="1"/>
    <col min="16" max="16" width="11.42578125" style="1"/>
    <col min="17" max="17" width="32.28515625" style="1" bestFit="1" customWidth="1"/>
    <col min="18" max="18" width="8.140625" style="1" hidden="1" customWidth="1"/>
    <col min="19" max="19" width="20.5703125" style="1" hidden="1" customWidth="1"/>
    <col min="20" max="20" width="12.42578125" style="1" hidden="1" customWidth="1"/>
    <col min="21" max="21" width="33.140625" style="1" hidden="1" customWidth="1"/>
    <col min="22" max="23" width="8" style="1" hidden="1" customWidth="1"/>
    <col min="24" max="24" width="11.42578125" style="1" hidden="1" customWidth="1"/>
    <col min="25" max="25" width="7.5703125" style="1" hidden="1" customWidth="1"/>
    <col min="26" max="26" width="6.5703125" style="1" hidden="1" customWidth="1"/>
    <col min="27" max="27" width="3" style="1" hidden="1" customWidth="1"/>
    <col min="28" max="28" width="3.28515625" style="1" hidden="1" customWidth="1"/>
    <col min="29" max="30" width="6.5703125" style="1" hidden="1" customWidth="1"/>
    <col min="31" max="31" width="10.28515625" style="1" hidden="1" customWidth="1"/>
    <col min="32" max="32" width="6.7109375" style="1" hidden="1" customWidth="1"/>
    <col min="33" max="34" width="7" style="1" hidden="1" customWidth="1"/>
    <col min="35" max="35" width="7.85546875" style="1" hidden="1" customWidth="1"/>
    <col min="36" max="36" width="6.28515625" style="1" hidden="1" customWidth="1"/>
    <col min="37" max="40" width="7" style="1" hidden="1" customWidth="1"/>
    <col min="41" max="42" width="7.85546875" style="1" hidden="1" customWidth="1"/>
    <col min="43" max="43" width="6.7109375" style="1" hidden="1" customWidth="1"/>
    <col min="44" max="44" width="10.7109375" style="1" hidden="1" customWidth="1"/>
    <col min="45" max="45" width="6.7109375" style="1" hidden="1" customWidth="1"/>
    <col min="46" max="46" width="11.42578125" style="1" hidden="1" customWidth="1"/>
    <col min="47" max="48" width="11.42578125" hidden="1" customWidth="1"/>
    <col min="49" max="49" width="17.28515625" style="1" hidden="1" customWidth="1"/>
    <col min="50" max="50" width="23.140625" style="1" hidden="1" customWidth="1"/>
    <col min="51" max="52" width="11.42578125" style="1" hidden="1" customWidth="1"/>
    <col min="53" max="75" width="0" style="1" hidden="1" customWidth="1"/>
    <col min="76" max="16384" width="11.42578125" style="1"/>
  </cols>
  <sheetData>
    <row r="1" spans="1:48" ht="18" x14ac:dyDescent="0.25">
      <c r="A1" s="2"/>
      <c r="B1" s="495" t="s">
        <v>434</v>
      </c>
      <c r="C1" s="495"/>
      <c r="D1" s="495"/>
      <c r="E1" s="495"/>
      <c r="F1" s="495"/>
      <c r="G1" s="495"/>
      <c r="H1" s="495"/>
      <c r="I1" s="495"/>
      <c r="J1" s="495"/>
      <c r="K1" s="495"/>
      <c r="L1" s="495"/>
      <c r="M1" s="495"/>
      <c r="N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8" ht="78.75" x14ac:dyDescent="0.2">
      <c r="A2" s="2"/>
      <c r="B2" s="2"/>
      <c r="C2" s="360" t="s">
        <v>225</v>
      </c>
      <c r="D2" s="361" t="s">
        <v>226</v>
      </c>
      <c r="E2" s="361" t="s">
        <v>227</v>
      </c>
      <c r="F2" s="361" t="s">
        <v>228</v>
      </c>
      <c r="G2" s="361" t="s">
        <v>229</v>
      </c>
      <c r="H2" s="361" t="s">
        <v>230</v>
      </c>
      <c r="I2" s="361" t="s">
        <v>231</v>
      </c>
      <c r="J2" s="361" t="s">
        <v>232</v>
      </c>
      <c r="K2" s="361" t="s">
        <v>233</v>
      </c>
      <c r="L2" s="361" t="s">
        <v>234</v>
      </c>
      <c r="M2" s="361" t="s">
        <v>291</v>
      </c>
      <c r="N2" s="2"/>
      <c r="Q2" s="2"/>
      <c r="R2" s="2"/>
      <c r="S2" s="2"/>
      <c r="T2" s="361" t="str">
        <f>+Datos!E14</f>
        <v>597-Maestros</v>
      </c>
      <c r="U2" s="2"/>
      <c r="V2" s="2"/>
      <c r="W2" s="2"/>
      <c r="X2" s="2"/>
      <c r="Y2" s="2"/>
      <c r="Z2" s="2"/>
      <c r="AA2" s="2"/>
      <c r="AB2" s="2"/>
      <c r="AC2" s="2"/>
      <c r="AD2" s="2"/>
      <c r="AE2" s="2"/>
      <c r="AF2" s="2"/>
      <c r="AG2" s="2"/>
      <c r="AH2" s="2"/>
      <c r="AI2" s="2"/>
      <c r="AJ2" s="2"/>
      <c r="AK2" s="2"/>
      <c r="AL2" s="2"/>
      <c r="AM2" s="2"/>
      <c r="AN2" s="2"/>
      <c r="AO2" s="2"/>
      <c r="AP2" s="2"/>
      <c r="AQ2" s="2"/>
      <c r="AR2" s="2"/>
      <c r="AS2" s="2"/>
      <c r="AT2" s="2"/>
      <c r="AU2" s="1"/>
      <c r="AV2" s="1"/>
    </row>
    <row r="3" spans="1:48" ht="18.75" x14ac:dyDescent="0.3">
      <c r="A3" s="2"/>
      <c r="B3" s="2"/>
      <c r="C3" s="355" t="s">
        <v>64</v>
      </c>
      <c r="D3" s="362" t="s">
        <v>1</v>
      </c>
      <c r="E3" s="362" t="s">
        <v>1</v>
      </c>
      <c r="F3" s="362" t="s">
        <v>1</v>
      </c>
      <c r="G3" s="362" t="s">
        <v>1</v>
      </c>
      <c r="H3" s="362" t="s">
        <v>1</v>
      </c>
      <c r="I3" s="362" t="s">
        <v>1</v>
      </c>
      <c r="J3" s="362" t="s">
        <v>2</v>
      </c>
      <c r="K3" s="362" t="s">
        <v>2</v>
      </c>
      <c r="L3" s="362" t="s">
        <v>2</v>
      </c>
      <c r="M3" s="362" t="s">
        <v>2</v>
      </c>
      <c r="N3" s="2"/>
      <c r="O3" s="292" t="s">
        <v>280</v>
      </c>
      <c r="P3" s="363">
        <v>2021</v>
      </c>
      <c r="Q3" s="364" t="s">
        <v>370</v>
      </c>
      <c r="R3" s="2"/>
      <c r="S3" s="2"/>
      <c r="T3" s="360" t="str">
        <f>IF(T$2=D$2,D3,IF(T$2=E$2,E3,IF(T$2=F$2,F3,IF(T$2=G$2,G3,IF(T$2=H$2,H3,IF(T$2=I$2,I3,IF(T$2=J$2,J3,IF(T$2=K$2,K3,IF(T$2=L$2,L3,IF(T$2=M$2,M3,IF(T$2=M$2,M3,666)))))))))))</f>
        <v>A2</v>
      </c>
      <c r="U3" s="355" t="s">
        <v>64</v>
      </c>
      <c r="V3" s="2"/>
      <c r="W3" s="2"/>
      <c r="X3" s="2"/>
      <c r="Y3" s="2"/>
      <c r="Z3" s="2"/>
      <c r="AA3" s="2"/>
      <c r="AB3" s="2"/>
      <c r="AC3" s="2"/>
      <c r="AD3" s="2"/>
      <c r="AE3" s="2"/>
      <c r="AF3" s="2"/>
      <c r="AG3" s="2"/>
      <c r="AH3" s="2"/>
      <c r="AI3" s="2"/>
      <c r="AJ3" s="2"/>
      <c r="AK3" s="2"/>
      <c r="AL3" s="2"/>
      <c r="AM3" s="2"/>
      <c r="AN3" s="2"/>
      <c r="AO3" s="2"/>
      <c r="AP3" s="2"/>
      <c r="AQ3" s="2"/>
      <c r="AR3" s="2"/>
      <c r="AS3" s="2"/>
      <c r="AT3" s="2"/>
      <c r="AU3" s="1"/>
      <c r="AV3" s="1"/>
    </row>
    <row r="4" spans="1:48" ht="15" x14ac:dyDescent="0.25">
      <c r="A4" s="2"/>
      <c r="B4" s="2"/>
      <c r="C4" s="355" t="s">
        <v>235</v>
      </c>
      <c r="D4" s="362">
        <v>26</v>
      </c>
      <c r="E4" s="362">
        <v>26</v>
      </c>
      <c r="F4" s="362">
        <v>24</v>
      </c>
      <c r="G4" s="362">
        <v>24</v>
      </c>
      <c r="H4" s="362">
        <v>24</v>
      </c>
      <c r="I4" s="362">
        <v>24</v>
      </c>
      <c r="J4" s="362">
        <v>24</v>
      </c>
      <c r="K4" s="362">
        <v>24</v>
      </c>
      <c r="L4" s="362">
        <v>21</v>
      </c>
      <c r="M4" s="362">
        <v>21</v>
      </c>
      <c r="N4" s="2"/>
      <c r="O4" s="365" t="s">
        <v>236</v>
      </c>
      <c r="P4" s="366">
        <v>552.34</v>
      </c>
      <c r="Q4" s="2"/>
      <c r="R4" s="2"/>
      <c r="S4" s="2"/>
      <c r="T4" s="360">
        <f t="shared" ref="T4:T27" si="0">IF(T$2=D$2,D4,IF(T$2=E$2,E4,IF(T$2=F$2,F4,IF(T$2=G$2,G4,IF(T$2=H$2,H4,IF(T$2=I$2,I4,IF(T$2=J$2,J4,IF(T$2=K$2,K4,IF(T$2=L$2,L4,IF(T$2=M$2,M4,666))))))))))</f>
        <v>21</v>
      </c>
      <c r="U4" s="355" t="s">
        <v>235</v>
      </c>
      <c r="V4" s="294"/>
      <c r="W4" s="2"/>
      <c r="X4" s="2"/>
      <c r="Y4" s="2"/>
      <c r="Z4" s="2"/>
      <c r="AA4" s="2"/>
      <c r="AB4" s="2"/>
      <c r="AC4" s="2"/>
      <c r="AD4" s="2"/>
      <c r="AE4" s="2"/>
      <c r="AF4" s="2"/>
      <c r="AG4" s="2"/>
      <c r="AH4" s="2"/>
      <c r="AI4" s="2"/>
      <c r="AJ4" s="2"/>
      <c r="AK4" s="2"/>
      <c r="AL4" s="2"/>
      <c r="AM4" s="2"/>
      <c r="AN4" s="2"/>
      <c r="AO4" s="2"/>
      <c r="AP4" s="2"/>
      <c r="AQ4" s="2"/>
      <c r="AR4" s="2"/>
      <c r="AS4" s="2"/>
      <c r="AT4" s="2"/>
      <c r="AU4" s="1"/>
      <c r="AV4" s="1"/>
    </row>
    <row r="5" spans="1:48" ht="15" x14ac:dyDescent="0.25">
      <c r="A5" s="2"/>
      <c r="B5" s="2"/>
      <c r="C5" s="367" t="s">
        <v>16</v>
      </c>
      <c r="D5" s="526">
        <v>1300.8800000000001</v>
      </c>
      <c r="E5" s="356">
        <f t="shared" ref="E5:I9" si="1">+D5</f>
        <v>1300.8800000000001</v>
      </c>
      <c r="F5" s="356">
        <f t="shared" si="1"/>
        <v>1300.8800000000001</v>
      </c>
      <c r="G5" s="356">
        <f t="shared" si="1"/>
        <v>1300.8800000000001</v>
      </c>
      <c r="H5" s="356">
        <f t="shared" si="1"/>
        <v>1300.8800000000001</v>
      </c>
      <c r="I5" s="356">
        <f t="shared" si="1"/>
        <v>1300.8800000000001</v>
      </c>
      <c r="J5" s="526">
        <v>1124.8499999999999</v>
      </c>
      <c r="K5" s="356">
        <f>+J5</f>
        <v>1124.8499999999999</v>
      </c>
      <c r="L5" s="356">
        <f>+K5</f>
        <v>1124.8499999999999</v>
      </c>
      <c r="M5" s="356">
        <f>+L5</f>
        <v>1124.8499999999999</v>
      </c>
      <c r="N5" s="2"/>
      <c r="O5" s="365" t="s">
        <v>237</v>
      </c>
      <c r="P5" s="366">
        <v>503.95</v>
      </c>
      <c r="Q5" s="2"/>
      <c r="R5" s="2"/>
      <c r="S5" s="2"/>
      <c r="T5" s="360">
        <f t="shared" si="0"/>
        <v>1124.8499999999999</v>
      </c>
      <c r="U5" s="367" t="s">
        <v>16</v>
      </c>
      <c r="V5" s="2"/>
      <c r="W5" s="2"/>
      <c r="X5" s="2"/>
      <c r="Y5" s="2"/>
      <c r="Z5" s="2"/>
      <c r="AA5" s="2"/>
      <c r="AB5" s="2"/>
      <c r="AC5" s="2"/>
      <c r="AD5" s="2"/>
      <c r="AE5" s="2"/>
      <c r="AF5" s="2"/>
      <c r="AG5" s="2"/>
      <c r="AH5" s="2"/>
      <c r="AI5" s="2"/>
      <c r="AJ5" s="2"/>
      <c r="AK5" s="2"/>
      <c r="AL5" s="2"/>
      <c r="AM5" s="2"/>
      <c r="AN5" s="2"/>
      <c r="AO5" s="2"/>
      <c r="AP5" s="2"/>
      <c r="AQ5" s="2"/>
      <c r="AR5" s="2"/>
      <c r="AS5" s="2"/>
      <c r="AT5" s="2"/>
      <c r="AU5" s="1"/>
      <c r="AV5" s="1"/>
    </row>
    <row r="6" spans="1:48" ht="15" x14ac:dyDescent="0.25">
      <c r="A6" s="2"/>
      <c r="B6" s="2"/>
      <c r="C6" s="367" t="s">
        <v>131</v>
      </c>
      <c r="D6" s="526">
        <v>802.76</v>
      </c>
      <c r="E6" s="356">
        <f t="shared" si="1"/>
        <v>802.76</v>
      </c>
      <c r="F6" s="356">
        <f t="shared" si="1"/>
        <v>802.76</v>
      </c>
      <c r="G6" s="356">
        <f t="shared" si="1"/>
        <v>802.76</v>
      </c>
      <c r="H6" s="356">
        <f t="shared" si="1"/>
        <v>802.76</v>
      </c>
      <c r="I6" s="356">
        <f t="shared" si="1"/>
        <v>802.76</v>
      </c>
      <c r="J6" s="526">
        <v>820.37</v>
      </c>
      <c r="K6" s="356">
        <f>+J6</f>
        <v>820.37</v>
      </c>
      <c r="L6" s="356">
        <f t="shared" ref="L6:M9" si="2">+K6</f>
        <v>820.37</v>
      </c>
      <c r="M6" s="356">
        <f t="shared" si="2"/>
        <v>820.37</v>
      </c>
      <c r="N6" s="2"/>
      <c r="O6" s="365" t="s">
        <v>238</v>
      </c>
      <c r="P6" s="366">
        <v>380.04</v>
      </c>
      <c r="Q6" s="2"/>
      <c r="R6" s="2"/>
      <c r="S6" s="2"/>
      <c r="T6" s="360">
        <f t="shared" si="0"/>
        <v>820.37</v>
      </c>
      <c r="U6" s="367" t="s">
        <v>131</v>
      </c>
      <c r="V6" s="2"/>
      <c r="W6" s="2"/>
      <c r="X6" s="2"/>
      <c r="Y6" s="2"/>
      <c r="Z6" s="2"/>
      <c r="AA6" s="2"/>
      <c r="AB6" s="2"/>
      <c r="AC6" s="2"/>
      <c r="AD6" s="2"/>
      <c r="AE6" s="2"/>
      <c r="AF6" s="2"/>
      <c r="AG6" s="2"/>
      <c r="AH6" s="2"/>
      <c r="AI6" s="2"/>
      <c r="AJ6" s="2"/>
      <c r="AK6" s="2"/>
      <c r="AL6" s="2"/>
      <c r="AM6" s="2"/>
      <c r="AN6" s="2"/>
      <c r="AO6" s="2"/>
      <c r="AP6" s="2"/>
      <c r="AQ6" s="2"/>
      <c r="AR6" s="2"/>
      <c r="AS6" s="2"/>
      <c r="AU6" s="1"/>
      <c r="AV6" s="1"/>
    </row>
    <row r="7" spans="1:48" ht="15" x14ac:dyDescent="0.25">
      <c r="A7" s="2"/>
      <c r="B7" s="2"/>
      <c r="C7" s="368" t="s">
        <v>132</v>
      </c>
      <c r="D7" s="526">
        <v>50.07</v>
      </c>
      <c r="E7" s="356">
        <f t="shared" si="1"/>
        <v>50.07</v>
      </c>
      <c r="F7" s="356">
        <f t="shared" si="1"/>
        <v>50.07</v>
      </c>
      <c r="G7" s="356">
        <f t="shared" si="1"/>
        <v>50.07</v>
      </c>
      <c r="H7" s="356">
        <f t="shared" si="1"/>
        <v>50.07</v>
      </c>
      <c r="I7" s="356">
        <f t="shared" si="1"/>
        <v>50.07</v>
      </c>
      <c r="J7" s="526">
        <v>40.83</v>
      </c>
      <c r="K7" s="356">
        <f>+J7</f>
        <v>40.83</v>
      </c>
      <c r="L7" s="356">
        <f t="shared" si="2"/>
        <v>40.83</v>
      </c>
      <c r="M7" s="356">
        <f t="shared" si="2"/>
        <v>40.83</v>
      </c>
      <c r="N7" s="2"/>
      <c r="O7" s="369" t="s">
        <v>239</v>
      </c>
      <c r="P7" s="366">
        <v>289.17</v>
      </c>
      <c r="Q7" s="2"/>
      <c r="R7" s="2"/>
      <c r="S7" s="2"/>
      <c r="T7" s="360">
        <f t="shared" si="0"/>
        <v>40.83</v>
      </c>
      <c r="U7" s="368" t="s">
        <v>132</v>
      </c>
      <c r="V7" s="2"/>
      <c r="W7" s="2"/>
      <c r="X7" s="2"/>
      <c r="Y7" s="2"/>
      <c r="Z7" s="2"/>
      <c r="AA7" s="2"/>
      <c r="AB7" s="2"/>
      <c r="AC7" s="2"/>
      <c r="AD7" s="2"/>
      <c r="AE7" s="2"/>
      <c r="AF7" s="2"/>
      <c r="AG7" s="2"/>
      <c r="AH7" s="2"/>
      <c r="AI7" s="2"/>
      <c r="AJ7" s="2"/>
      <c r="AK7" s="2"/>
      <c r="AL7" s="2"/>
      <c r="AM7" s="2"/>
      <c r="AN7" s="2"/>
      <c r="AO7" s="2"/>
      <c r="AP7" s="2"/>
      <c r="AQ7" s="2"/>
      <c r="AR7" s="2"/>
      <c r="AS7" s="2"/>
      <c r="AU7" s="1"/>
      <c r="AV7" s="1"/>
    </row>
    <row r="8" spans="1:48" ht="15" x14ac:dyDescent="0.25">
      <c r="A8" s="2"/>
      <c r="B8" s="2"/>
      <c r="C8" s="368" t="s">
        <v>136</v>
      </c>
      <c r="D8" s="526">
        <v>30.91</v>
      </c>
      <c r="E8" s="356">
        <f t="shared" si="1"/>
        <v>30.91</v>
      </c>
      <c r="F8" s="356">
        <f t="shared" si="1"/>
        <v>30.91</v>
      </c>
      <c r="G8" s="356">
        <f t="shared" si="1"/>
        <v>30.91</v>
      </c>
      <c r="H8" s="356">
        <f t="shared" si="1"/>
        <v>30.91</v>
      </c>
      <c r="I8" s="356">
        <f t="shared" si="1"/>
        <v>30.91</v>
      </c>
      <c r="J8" s="526">
        <v>29.77</v>
      </c>
      <c r="K8" s="356">
        <f>+J8</f>
        <v>29.77</v>
      </c>
      <c r="L8" s="356">
        <f t="shared" si="2"/>
        <v>29.77</v>
      </c>
      <c r="M8" s="356">
        <f t="shared" si="2"/>
        <v>29.77</v>
      </c>
      <c r="N8" s="2"/>
      <c r="O8" s="369" t="s">
        <v>240</v>
      </c>
      <c r="P8" s="366">
        <v>195.96</v>
      </c>
      <c r="Q8" s="2"/>
      <c r="R8" s="2"/>
      <c r="S8" s="2"/>
      <c r="T8" s="360">
        <f t="shared" si="0"/>
        <v>29.77</v>
      </c>
      <c r="U8" s="368" t="s">
        <v>136</v>
      </c>
      <c r="V8" s="2"/>
      <c r="W8" s="2"/>
      <c r="X8" s="2"/>
      <c r="Y8" s="2"/>
      <c r="Z8" s="2"/>
      <c r="AA8" s="2"/>
      <c r="AB8" s="2"/>
      <c r="AC8" s="2"/>
      <c r="AD8" s="2"/>
      <c r="AE8" s="2"/>
      <c r="AF8" s="2"/>
      <c r="AG8" s="2"/>
      <c r="AH8" s="2"/>
      <c r="AI8" s="2"/>
      <c r="AJ8" s="2"/>
      <c r="AK8" s="2"/>
      <c r="AL8" s="2"/>
      <c r="AM8" s="2"/>
      <c r="AN8" s="2"/>
      <c r="AO8" s="2"/>
      <c r="AP8" s="2"/>
      <c r="AQ8" s="2"/>
      <c r="AR8" s="2"/>
      <c r="AS8" s="2"/>
      <c r="AU8" s="1"/>
      <c r="AV8" s="1"/>
    </row>
    <row r="9" spans="1:48" ht="15" x14ac:dyDescent="0.25">
      <c r="B9" s="2"/>
      <c r="C9" s="370" t="s">
        <v>133</v>
      </c>
      <c r="D9" s="526">
        <v>830.29</v>
      </c>
      <c r="E9" s="356">
        <f t="shared" si="1"/>
        <v>830.29</v>
      </c>
      <c r="F9" s="526">
        <v>693.22</v>
      </c>
      <c r="G9" s="356">
        <f>+F9</f>
        <v>693.22</v>
      </c>
      <c r="H9" s="356">
        <f>+G9</f>
        <v>693.22</v>
      </c>
      <c r="I9" s="356">
        <f>+H9</f>
        <v>693.22</v>
      </c>
      <c r="J9" s="356">
        <f>+I9</f>
        <v>693.22</v>
      </c>
      <c r="K9" s="356">
        <f>+J9</f>
        <v>693.22</v>
      </c>
      <c r="L9" s="526">
        <v>562.91999999999996</v>
      </c>
      <c r="M9" s="356">
        <f t="shared" si="2"/>
        <v>562.91999999999996</v>
      </c>
      <c r="N9" s="2"/>
      <c r="O9" s="369" t="s">
        <v>241</v>
      </c>
      <c r="P9" s="366">
        <v>122.79</v>
      </c>
      <c r="Q9" s="2"/>
      <c r="R9" s="2"/>
      <c r="S9" s="2"/>
      <c r="T9" s="360">
        <f t="shared" si="0"/>
        <v>562.91999999999996</v>
      </c>
      <c r="U9" s="370" t="s">
        <v>133</v>
      </c>
      <c r="V9" s="2"/>
      <c r="W9" s="2"/>
      <c r="X9" s="2"/>
      <c r="Y9" s="2"/>
      <c r="Z9" s="2"/>
      <c r="AA9" s="2"/>
      <c r="AB9" s="2"/>
      <c r="AC9" s="2"/>
      <c r="AD9" s="2"/>
      <c r="AE9" s="2"/>
      <c r="AF9" s="2"/>
      <c r="AG9" s="2"/>
      <c r="AH9" s="2"/>
      <c r="AI9" s="2"/>
      <c r="AJ9" s="2"/>
      <c r="AK9" s="2"/>
      <c r="AL9" s="2"/>
      <c r="AM9" s="2"/>
      <c r="AN9" s="2"/>
      <c r="AO9" s="2"/>
      <c r="AP9" s="2"/>
      <c r="AQ9" s="2"/>
      <c r="AR9" s="2"/>
      <c r="AS9" s="2"/>
      <c r="AU9" s="1"/>
      <c r="AV9" s="1"/>
    </row>
    <row r="10" spans="1:48" ht="15" x14ac:dyDescent="0.25">
      <c r="C10" s="370" t="s">
        <v>137</v>
      </c>
      <c r="D10" s="356">
        <f t="shared" ref="D10:M10" si="3">+D9</f>
        <v>830.29</v>
      </c>
      <c r="E10" s="356">
        <f t="shared" si="3"/>
        <v>830.29</v>
      </c>
      <c r="F10" s="356">
        <f t="shared" si="3"/>
        <v>693.22</v>
      </c>
      <c r="G10" s="356">
        <f t="shared" si="3"/>
        <v>693.22</v>
      </c>
      <c r="H10" s="356">
        <f t="shared" si="3"/>
        <v>693.22</v>
      </c>
      <c r="I10" s="356">
        <f t="shared" si="3"/>
        <v>693.22</v>
      </c>
      <c r="J10" s="356">
        <f t="shared" si="3"/>
        <v>693.22</v>
      </c>
      <c r="K10" s="356">
        <f t="shared" si="3"/>
        <v>693.22</v>
      </c>
      <c r="L10" s="356">
        <f t="shared" si="3"/>
        <v>562.91999999999996</v>
      </c>
      <c r="M10" s="356">
        <f t="shared" si="3"/>
        <v>562.91999999999996</v>
      </c>
      <c r="N10" s="2"/>
      <c r="O10" s="365" t="s">
        <v>242</v>
      </c>
      <c r="P10" s="366">
        <v>226.64</v>
      </c>
      <c r="Q10" s="2"/>
      <c r="R10" s="2"/>
      <c r="S10" s="2"/>
      <c r="T10" s="360">
        <f t="shared" si="0"/>
        <v>562.91999999999996</v>
      </c>
      <c r="U10" s="370" t="s">
        <v>137</v>
      </c>
      <c r="V10" s="2"/>
      <c r="W10" s="2"/>
      <c r="X10" s="2"/>
      <c r="Y10" s="2"/>
      <c r="Z10" s="2"/>
      <c r="AA10" s="2"/>
      <c r="AB10" s="2"/>
      <c r="AC10" s="2"/>
      <c r="AD10" s="2"/>
      <c r="AE10" s="2"/>
      <c r="AF10" s="2"/>
      <c r="AG10" s="2"/>
      <c r="AH10" s="2"/>
      <c r="AI10" s="2"/>
      <c r="AJ10" s="2"/>
      <c r="AK10" s="2"/>
      <c r="AL10" s="2"/>
      <c r="AM10" s="2"/>
      <c r="AN10" s="2"/>
      <c r="AO10" s="2"/>
      <c r="AP10" s="2"/>
      <c r="AQ10" s="2"/>
      <c r="AR10" s="2"/>
      <c r="AS10" s="2"/>
      <c r="AU10" s="1"/>
      <c r="AV10" s="1"/>
    </row>
    <row r="11" spans="1:48" ht="15" x14ac:dyDescent="0.25">
      <c r="C11" s="371" t="s">
        <v>134</v>
      </c>
      <c r="D11" s="395">
        <v>1616.22</v>
      </c>
      <c r="E11" s="526">
        <v>777.49</v>
      </c>
      <c r="F11" s="526">
        <v>720.84</v>
      </c>
      <c r="G11" s="356">
        <f>+F11</f>
        <v>720.84</v>
      </c>
      <c r="H11" s="356">
        <f>+G11</f>
        <v>720.84</v>
      </c>
      <c r="I11" s="356">
        <f>+H11</f>
        <v>720.84</v>
      </c>
      <c r="J11" s="526">
        <v>723.02</v>
      </c>
      <c r="K11" s="356">
        <f>+J11</f>
        <v>723.02</v>
      </c>
      <c r="L11" s="526">
        <v>767.49</v>
      </c>
      <c r="M11" s="526">
        <f>+L11+N11</f>
        <v>853.32</v>
      </c>
      <c r="N11" s="526">
        <f>85.41+0.42</f>
        <v>85.83</v>
      </c>
      <c r="O11" s="365" t="s">
        <v>243</v>
      </c>
      <c r="P11" s="366">
        <v>217.21</v>
      </c>
      <c r="Q11" s="2"/>
      <c r="R11" s="2"/>
      <c r="S11" s="2"/>
      <c r="T11" s="360">
        <f t="shared" si="0"/>
        <v>767.49</v>
      </c>
      <c r="U11" s="371" t="s">
        <v>134</v>
      </c>
      <c r="V11" s="2"/>
      <c r="W11" s="2"/>
      <c r="X11" s="2"/>
      <c r="Y11" s="2"/>
      <c r="Z11" s="2"/>
      <c r="AA11" s="2"/>
      <c r="AB11" s="2"/>
      <c r="AC11" s="2"/>
      <c r="AD11" s="2"/>
      <c r="AE11" s="2"/>
      <c r="AF11" s="2"/>
      <c r="AG11" s="2"/>
      <c r="AH11" s="2"/>
      <c r="AI11" s="2"/>
      <c r="AJ11" s="2"/>
      <c r="AK11" s="2"/>
      <c r="AL11" s="2"/>
      <c r="AM11" s="2"/>
      <c r="AN11" s="2"/>
      <c r="AO11" s="2"/>
      <c r="AP11" s="2"/>
      <c r="AQ11" s="2"/>
      <c r="AR11" s="2"/>
      <c r="AS11" s="2"/>
      <c r="AU11" s="1"/>
      <c r="AV11" s="1"/>
    </row>
    <row r="12" spans="1:48" ht="15" x14ac:dyDescent="0.25">
      <c r="C12" s="372" t="s">
        <v>138</v>
      </c>
      <c r="D12" s="357">
        <f>ROUNDUP(+D11*78%,2)</f>
        <v>1260.6600000000001</v>
      </c>
      <c r="E12" s="357">
        <f>ROUNDUP(+E11*78%,2)-0.01</f>
        <v>606.44000000000005</v>
      </c>
      <c r="F12" s="357">
        <f>ROUNDUP(+F11*78%,2)-0.01</f>
        <v>562.25</v>
      </c>
      <c r="G12" s="357">
        <f>ROUNDUP(+G11*78%,2)</f>
        <v>562.26</v>
      </c>
      <c r="H12" s="357">
        <f t="shared" ref="H12" si="4">ROUNDUP(+H11*78%,2)</f>
        <v>562.26</v>
      </c>
      <c r="I12" s="357">
        <f>ROUNDUP(+I11*78%,2)</f>
        <v>562.26</v>
      </c>
      <c r="J12" s="357">
        <f>ROUNDUP(+J11*78%,2)-0.01</f>
        <v>563.95000000000005</v>
      </c>
      <c r="K12" s="357">
        <f>ROUNDUP(+K11*78%,2)</f>
        <v>563.96</v>
      </c>
      <c r="L12" s="357">
        <f t="shared" ref="L12" si="5">ROUNDUP(+L11*78%,2)</f>
        <v>598.65</v>
      </c>
      <c r="M12" s="357">
        <f>ROUNDUP(+M11*78%,2)</f>
        <v>665.59</v>
      </c>
      <c r="N12" s="2"/>
      <c r="O12" s="369" t="s">
        <v>244</v>
      </c>
      <c r="P12" s="366">
        <v>203.02</v>
      </c>
      <c r="Q12" s="2"/>
      <c r="R12" s="2"/>
      <c r="S12" s="2"/>
      <c r="T12" s="360">
        <f t="shared" si="0"/>
        <v>598.65</v>
      </c>
      <c r="U12" s="372" t="s">
        <v>138</v>
      </c>
      <c r="V12" s="2"/>
      <c r="W12" s="2" t="s">
        <v>419</v>
      </c>
      <c r="X12" s="2"/>
      <c r="Y12" s="2"/>
      <c r="Z12" s="2"/>
      <c r="AA12" s="2"/>
      <c r="AB12" s="2"/>
      <c r="AC12" s="2"/>
      <c r="AD12" s="2"/>
      <c r="AE12" s="2"/>
      <c r="AF12" s="2"/>
      <c r="AG12" s="2"/>
      <c r="AH12" s="2"/>
      <c r="AI12" s="2"/>
      <c r="AJ12" s="2"/>
      <c r="AK12" s="2"/>
      <c r="AL12" s="2"/>
      <c r="AM12" s="2"/>
      <c r="AN12" s="2"/>
      <c r="AO12" s="2"/>
      <c r="AP12" s="2"/>
      <c r="AQ12" s="2"/>
      <c r="AR12" s="2"/>
      <c r="AS12" s="2"/>
      <c r="AU12" s="1"/>
      <c r="AV12" s="1"/>
    </row>
    <row r="13" spans="1:48" ht="15" x14ac:dyDescent="0.25">
      <c r="C13" s="373" t="s">
        <v>139</v>
      </c>
      <c r="D13" s="394">
        <v>55</v>
      </c>
      <c r="E13" s="358">
        <f t="shared" ref="E13:M27" si="6">+D13</f>
        <v>55</v>
      </c>
      <c r="F13" s="358">
        <f t="shared" si="6"/>
        <v>55</v>
      </c>
      <c r="G13" s="358">
        <f t="shared" si="6"/>
        <v>55</v>
      </c>
      <c r="H13" s="358">
        <f t="shared" si="6"/>
        <v>55</v>
      </c>
      <c r="I13" s="358">
        <f t="shared" si="6"/>
        <v>55</v>
      </c>
      <c r="J13" s="358">
        <f t="shared" si="6"/>
        <v>55</v>
      </c>
      <c r="K13" s="358">
        <f t="shared" si="6"/>
        <v>55</v>
      </c>
      <c r="L13" s="356">
        <f t="shared" si="6"/>
        <v>55</v>
      </c>
      <c r="M13" s="356">
        <f t="shared" si="6"/>
        <v>55</v>
      </c>
      <c r="N13" s="2"/>
      <c r="O13" s="365" t="s">
        <v>245</v>
      </c>
      <c r="P13" s="366">
        <v>158.18</v>
      </c>
      <c r="Q13" s="2"/>
      <c r="R13" s="2"/>
      <c r="S13" s="2"/>
      <c r="T13" s="360">
        <f t="shared" si="0"/>
        <v>55</v>
      </c>
      <c r="U13" s="373" t="s">
        <v>139</v>
      </c>
      <c r="V13" s="2"/>
      <c r="W13" s="2">
        <f>((+T5+T9+T11+(T7*T29)+(IF(T30=1,T13,IF(T30=2,T15,IF(T30=3,T17,IF(T30=4,T19,IF(T30&gt;4,T21,0)))))))*12)</f>
        <v>38900.76</v>
      </c>
      <c r="X13" s="2"/>
      <c r="Y13" s="2"/>
      <c r="Z13" s="2"/>
      <c r="AA13" s="2"/>
      <c r="AB13" s="2"/>
      <c r="AC13" s="2"/>
      <c r="AD13" s="2"/>
      <c r="AE13" s="2"/>
      <c r="AF13" s="2"/>
      <c r="AG13" s="2"/>
      <c r="AH13" s="2"/>
      <c r="AI13" s="2"/>
      <c r="AJ13" s="2"/>
      <c r="AK13" s="2"/>
      <c r="AL13" s="2"/>
      <c r="AM13" s="2"/>
      <c r="AN13" s="2"/>
      <c r="AO13" s="2"/>
      <c r="AP13" s="2"/>
      <c r="AQ13" s="2"/>
      <c r="AR13" s="2"/>
      <c r="AS13" s="2"/>
      <c r="AU13" s="1"/>
      <c r="AV13" s="1"/>
    </row>
    <row r="14" spans="1:48" ht="15" x14ac:dyDescent="0.25">
      <c r="C14" s="373" t="s">
        <v>144</v>
      </c>
      <c r="D14" s="394">
        <f>ROUNDUP(+D13*78%,2)</f>
        <v>42.9</v>
      </c>
      <c r="E14" s="358">
        <f t="shared" si="6"/>
        <v>42.9</v>
      </c>
      <c r="F14" s="358">
        <f t="shared" si="6"/>
        <v>42.9</v>
      </c>
      <c r="G14" s="358">
        <f t="shared" si="6"/>
        <v>42.9</v>
      </c>
      <c r="H14" s="358">
        <f t="shared" si="6"/>
        <v>42.9</v>
      </c>
      <c r="I14" s="358">
        <f t="shared" si="6"/>
        <v>42.9</v>
      </c>
      <c r="J14" s="358">
        <f t="shared" si="6"/>
        <v>42.9</v>
      </c>
      <c r="K14" s="358">
        <f t="shared" si="6"/>
        <v>42.9</v>
      </c>
      <c r="L14" s="356">
        <f t="shared" si="6"/>
        <v>42.9</v>
      </c>
      <c r="M14" s="356">
        <f t="shared" si="6"/>
        <v>42.9</v>
      </c>
      <c r="N14" s="2"/>
      <c r="O14" s="369" t="s">
        <v>246</v>
      </c>
      <c r="P14" s="366">
        <v>226.64</v>
      </c>
      <c r="Q14" s="2"/>
      <c r="R14" s="2"/>
      <c r="S14" s="2"/>
      <c r="T14" s="360">
        <f t="shared" si="0"/>
        <v>42.9</v>
      </c>
      <c r="U14" s="373" t="s">
        <v>144</v>
      </c>
      <c r="V14" s="2"/>
      <c r="W14" s="2">
        <f>((T6+T10+T12+(T8*T29)+(IF(T30=1,T13*0.78,IF(T30=2,T15*0.78,IF(T30=3,T17*0.78,IF(T30=4,T19*0.78,IF(T30&gt;4,T21*0.78,0)))))))*2)</f>
        <v>5153.38</v>
      </c>
      <c r="X14" s="2"/>
      <c r="Y14" s="2"/>
      <c r="Z14" s="2"/>
      <c r="AA14" s="2"/>
      <c r="AB14" s="2"/>
      <c r="AC14" s="2"/>
      <c r="AD14" s="2"/>
      <c r="AE14" s="2"/>
      <c r="AF14" s="2"/>
      <c r="AG14" s="2"/>
      <c r="AH14" s="2"/>
      <c r="AI14" s="2"/>
      <c r="AJ14" s="2"/>
      <c r="AK14" s="2"/>
      <c r="AL14" s="2"/>
      <c r="AM14" s="2"/>
      <c r="AN14" s="2"/>
      <c r="AO14" s="2"/>
      <c r="AP14" s="2"/>
      <c r="AQ14" s="2"/>
      <c r="AR14" s="2"/>
      <c r="AS14" s="2"/>
      <c r="AU14" s="1"/>
      <c r="AV14" s="1"/>
    </row>
    <row r="15" spans="1:48" ht="15" x14ac:dyDescent="0.25">
      <c r="C15" s="373" t="s">
        <v>140</v>
      </c>
      <c r="D15" s="394">
        <v>119</v>
      </c>
      <c r="E15" s="358">
        <f t="shared" si="6"/>
        <v>119</v>
      </c>
      <c r="F15" s="358">
        <f t="shared" si="6"/>
        <v>119</v>
      </c>
      <c r="G15" s="358">
        <f t="shared" si="6"/>
        <v>119</v>
      </c>
      <c r="H15" s="358">
        <f t="shared" si="6"/>
        <v>119</v>
      </c>
      <c r="I15" s="358">
        <f t="shared" si="6"/>
        <v>119</v>
      </c>
      <c r="J15" s="358">
        <f t="shared" si="6"/>
        <v>119</v>
      </c>
      <c r="K15" s="358">
        <f t="shared" si="6"/>
        <v>119</v>
      </c>
      <c r="L15" s="356">
        <f t="shared" si="6"/>
        <v>119</v>
      </c>
      <c r="M15" s="356">
        <f t="shared" si="6"/>
        <v>119</v>
      </c>
      <c r="N15" s="2"/>
      <c r="O15" s="365" t="s">
        <v>247</v>
      </c>
      <c r="P15" s="366">
        <v>217.21</v>
      </c>
      <c r="Q15" s="2"/>
      <c r="R15" s="2"/>
      <c r="S15" s="2"/>
      <c r="T15" s="360">
        <f t="shared" si="0"/>
        <v>119</v>
      </c>
      <c r="U15" s="373" t="s">
        <v>140</v>
      </c>
      <c r="V15" s="2"/>
      <c r="W15" s="2">
        <f>(IF(T31="Isla No Capitalina",(T24+(T25*T29))*12,T23*12))</f>
        <v>1650.96</v>
      </c>
      <c r="X15" s="2"/>
      <c r="Y15" s="2"/>
      <c r="Z15" s="2"/>
      <c r="AA15" s="2"/>
      <c r="AB15" s="2"/>
      <c r="AC15" s="2"/>
      <c r="AD15" s="2"/>
      <c r="AE15" s="2"/>
      <c r="AF15" s="2"/>
      <c r="AG15" s="2"/>
      <c r="AH15" s="2"/>
      <c r="AI15" s="2"/>
      <c r="AJ15" s="2"/>
      <c r="AK15" s="2"/>
      <c r="AL15" s="2"/>
      <c r="AM15" s="2"/>
      <c r="AN15" s="2"/>
      <c r="AO15" s="2"/>
      <c r="AP15" s="2"/>
      <c r="AQ15" s="2"/>
      <c r="AR15" s="2"/>
      <c r="AS15" s="2"/>
      <c r="AU15" s="1"/>
      <c r="AV15" s="1"/>
    </row>
    <row r="16" spans="1:48" ht="15" x14ac:dyDescent="0.25">
      <c r="C16" s="373" t="s">
        <v>145</v>
      </c>
      <c r="D16" s="394">
        <f>+D15*78%</f>
        <v>92.820000000000007</v>
      </c>
      <c r="E16" s="358">
        <f t="shared" si="6"/>
        <v>92.820000000000007</v>
      </c>
      <c r="F16" s="358">
        <f t="shared" si="6"/>
        <v>92.820000000000007</v>
      </c>
      <c r="G16" s="358">
        <f t="shared" si="6"/>
        <v>92.820000000000007</v>
      </c>
      <c r="H16" s="358">
        <f t="shared" si="6"/>
        <v>92.820000000000007</v>
      </c>
      <c r="I16" s="358">
        <f t="shared" si="6"/>
        <v>92.820000000000007</v>
      </c>
      <c r="J16" s="358">
        <f t="shared" si="6"/>
        <v>92.820000000000007</v>
      </c>
      <c r="K16" s="358">
        <f t="shared" si="6"/>
        <v>92.820000000000007</v>
      </c>
      <c r="L16" s="356">
        <f t="shared" si="6"/>
        <v>92.820000000000007</v>
      </c>
      <c r="M16" s="356">
        <f t="shared" si="6"/>
        <v>92.820000000000007</v>
      </c>
      <c r="N16" s="2"/>
      <c r="O16" s="365" t="s">
        <v>248</v>
      </c>
      <c r="P16" s="366">
        <v>203.02</v>
      </c>
      <c r="Q16" s="2"/>
      <c r="R16" s="2"/>
      <c r="S16" s="2"/>
      <c r="T16" s="360">
        <f t="shared" si="0"/>
        <v>92.820000000000007</v>
      </c>
      <c r="U16" s="373" t="s">
        <v>145</v>
      </c>
      <c r="V16" s="2"/>
      <c r="W16" s="2">
        <f>+W13+W14+W15</f>
        <v>45705.1</v>
      </c>
      <c r="X16" s="2"/>
      <c r="Y16" s="2"/>
      <c r="Z16" s="2"/>
      <c r="AA16" s="2"/>
      <c r="AB16" s="2"/>
      <c r="AC16" s="2"/>
      <c r="AD16" s="2"/>
      <c r="AE16" s="2"/>
      <c r="AF16" s="2"/>
      <c r="AG16" s="2"/>
      <c r="AH16" s="2"/>
      <c r="AI16" s="2"/>
      <c r="AJ16" s="2"/>
      <c r="AK16" s="2"/>
      <c r="AL16" s="2"/>
      <c r="AM16" s="2"/>
      <c r="AN16" s="2"/>
      <c r="AO16" s="2"/>
      <c r="AP16" s="2"/>
      <c r="AQ16" s="2"/>
      <c r="AR16" s="2"/>
      <c r="AS16" s="2"/>
      <c r="AU16" s="1"/>
      <c r="AV16" s="1"/>
    </row>
    <row r="17" spans="2:48" ht="15" x14ac:dyDescent="0.25">
      <c r="C17" s="373" t="s">
        <v>141</v>
      </c>
      <c r="D17" s="394">
        <v>239</v>
      </c>
      <c r="E17" s="358">
        <f t="shared" si="6"/>
        <v>239</v>
      </c>
      <c r="F17" s="358">
        <f t="shared" si="6"/>
        <v>239</v>
      </c>
      <c r="G17" s="358">
        <f t="shared" si="6"/>
        <v>239</v>
      </c>
      <c r="H17" s="358">
        <f t="shared" si="6"/>
        <v>239</v>
      </c>
      <c r="I17" s="358">
        <f t="shared" si="6"/>
        <v>239</v>
      </c>
      <c r="J17" s="358">
        <f t="shared" si="6"/>
        <v>239</v>
      </c>
      <c r="K17" s="358">
        <f t="shared" si="6"/>
        <v>239</v>
      </c>
      <c r="L17" s="356">
        <f t="shared" si="6"/>
        <v>239</v>
      </c>
      <c r="M17" s="356">
        <f t="shared" si="6"/>
        <v>239</v>
      </c>
      <c r="N17" s="2"/>
      <c r="O17" s="365" t="s">
        <v>249</v>
      </c>
      <c r="P17" s="366">
        <v>158.18</v>
      </c>
      <c r="Q17" s="2"/>
      <c r="R17" s="2"/>
      <c r="S17" s="2"/>
      <c r="T17" s="360">
        <f t="shared" si="0"/>
        <v>239</v>
      </c>
      <c r="U17" s="373" t="s">
        <v>141</v>
      </c>
      <c r="V17" s="2"/>
      <c r="W17" s="2"/>
      <c r="X17" s="2"/>
      <c r="Y17" s="2"/>
      <c r="Z17" s="2"/>
      <c r="AA17" s="2"/>
      <c r="AB17" s="2"/>
      <c r="AC17" s="2"/>
      <c r="AD17" s="2"/>
      <c r="AE17" s="2"/>
      <c r="AF17" s="2"/>
      <c r="AG17" s="2"/>
      <c r="AH17" s="2"/>
      <c r="AI17" s="2"/>
      <c r="AJ17" s="2"/>
      <c r="AK17" s="2"/>
      <c r="AL17" s="2"/>
      <c r="AM17" s="2"/>
      <c r="AN17" s="2"/>
      <c r="AO17" s="2"/>
      <c r="AP17" s="2"/>
      <c r="AQ17" s="2"/>
      <c r="AR17" s="2"/>
      <c r="AS17" s="2"/>
      <c r="AU17" s="1"/>
      <c r="AV17" s="1"/>
    </row>
    <row r="18" spans="2:48" ht="15" x14ac:dyDescent="0.25">
      <c r="C18" s="373" t="s">
        <v>146</v>
      </c>
      <c r="D18" s="394">
        <f>+D17*78%</f>
        <v>186.42000000000002</v>
      </c>
      <c r="E18" s="358">
        <f t="shared" si="6"/>
        <v>186.42000000000002</v>
      </c>
      <c r="F18" s="358">
        <f t="shared" si="6"/>
        <v>186.42000000000002</v>
      </c>
      <c r="G18" s="358">
        <f t="shared" si="6"/>
        <v>186.42000000000002</v>
      </c>
      <c r="H18" s="358">
        <f t="shared" si="6"/>
        <v>186.42000000000002</v>
      </c>
      <c r="I18" s="358">
        <f t="shared" si="6"/>
        <v>186.42000000000002</v>
      </c>
      <c r="J18" s="358">
        <f t="shared" si="6"/>
        <v>186.42000000000002</v>
      </c>
      <c r="K18" s="358">
        <f t="shared" si="6"/>
        <v>186.42000000000002</v>
      </c>
      <c r="L18" s="356">
        <f t="shared" si="6"/>
        <v>186.42000000000002</v>
      </c>
      <c r="M18" s="356">
        <f t="shared" si="6"/>
        <v>186.42000000000002</v>
      </c>
      <c r="N18" s="2"/>
      <c r="O18" s="365" t="s">
        <v>250</v>
      </c>
      <c r="P18" s="366">
        <v>106.25</v>
      </c>
      <c r="Q18" s="2"/>
      <c r="R18" s="2"/>
      <c r="S18" s="2"/>
      <c r="T18" s="360">
        <f t="shared" si="0"/>
        <v>186.42000000000002</v>
      </c>
      <c r="U18" s="373" t="s">
        <v>146</v>
      </c>
      <c r="V18" s="2"/>
      <c r="W18" s="2"/>
      <c r="X18" s="2"/>
      <c r="Y18" s="2"/>
      <c r="Z18" s="2"/>
      <c r="AA18" s="2"/>
      <c r="AB18" s="2"/>
      <c r="AC18" s="2"/>
      <c r="AD18" s="2"/>
      <c r="AE18" s="2"/>
      <c r="AF18" s="2"/>
      <c r="AG18" s="2"/>
      <c r="AH18" s="2"/>
      <c r="AI18" s="2"/>
      <c r="AJ18" s="2"/>
      <c r="AK18" s="2"/>
      <c r="AL18" s="2"/>
      <c r="AM18" s="2"/>
      <c r="AN18" s="2"/>
      <c r="AO18" s="2"/>
      <c r="AP18" s="2"/>
      <c r="AQ18" s="2"/>
      <c r="AR18" s="2"/>
      <c r="AS18" s="2"/>
      <c r="AU18" s="1"/>
      <c r="AV18" s="1"/>
    </row>
    <row r="19" spans="2:48" ht="15" x14ac:dyDescent="0.25">
      <c r="C19" s="373" t="s">
        <v>142</v>
      </c>
      <c r="D19" s="394">
        <v>419</v>
      </c>
      <c r="E19" s="358">
        <f t="shared" si="6"/>
        <v>419</v>
      </c>
      <c r="F19" s="358">
        <f t="shared" si="6"/>
        <v>419</v>
      </c>
      <c r="G19" s="358">
        <f t="shared" si="6"/>
        <v>419</v>
      </c>
      <c r="H19" s="358">
        <f t="shared" si="6"/>
        <v>419</v>
      </c>
      <c r="I19" s="358">
        <f t="shared" si="6"/>
        <v>419</v>
      </c>
      <c r="J19" s="358">
        <f t="shared" si="6"/>
        <v>419</v>
      </c>
      <c r="K19" s="358">
        <f t="shared" si="6"/>
        <v>419</v>
      </c>
      <c r="L19" s="356">
        <f t="shared" si="6"/>
        <v>419</v>
      </c>
      <c r="M19" s="356">
        <f t="shared" si="6"/>
        <v>419</v>
      </c>
      <c r="N19" s="2"/>
      <c r="O19" s="365" t="s">
        <v>251</v>
      </c>
      <c r="P19" s="366">
        <v>226.64</v>
      </c>
      <c r="Q19" s="2"/>
      <c r="R19" s="2"/>
      <c r="S19" s="2"/>
      <c r="T19" s="360">
        <f t="shared" si="0"/>
        <v>419</v>
      </c>
      <c r="U19" s="373" t="s">
        <v>142</v>
      </c>
      <c r="V19" s="2"/>
      <c r="W19" s="2"/>
      <c r="X19" s="2"/>
      <c r="Y19" s="2"/>
      <c r="Z19" s="2"/>
      <c r="AA19" s="2"/>
      <c r="AB19" s="2"/>
      <c r="AC19" s="2"/>
      <c r="AD19" s="2"/>
      <c r="AE19" s="2"/>
      <c r="AF19" s="2"/>
      <c r="AG19" s="2"/>
      <c r="AH19" s="2"/>
      <c r="AI19" s="2"/>
      <c r="AJ19" s="2"/>
      <c r="AK19" s="2"/>
      <c r="AL19" s="2"/>
      <c r="AM19" s="2"/>
      <c r="AN19" s="2"/>
      <c r="AO19" s="2"/>
      <c r="AP19" s="2"/>
      <c r="AQ19" s="2"/>
      <c r="AR19" s="2"/>
      <c r="AS19" s="2"/>
      <c r="AU19" s="1"/>
      <c r="AV19" s="1"/>
    </row>
    <row r="20" spans="2:48" ht="15" x14ac:dyDescent="0.25">
      <c r="C20" s="373" t="s">
        <v>147</v>
      </c>
      <c r="D20" s="394">
        <f>+D19*78%</f>
        <v>326.82</v>
      </c>
      <c r="E20" s="358">
        <f t="shared" si="6"/>
        <v>326.82</v>
      </c>
      <c r="F20" s="358">
        <f t="shared" si="6"/>
        <v>326.82</v>
      </c>
      <c r="G20" s="358">
        <f t="shared" si="6"/>
        <v>326.82</v>
      </c>
      <c r="H20" s="358">
        <f t="shared" si="6"/>
        <v>326.82</v>
      </c>
      <c r="I20" s="358">
        <f t="shared" si="6"/>
        <v>326.82</v>
      </c>
      <c r="J20" s="358">
        <f t="shared" si="6"/>
        <v>326.82</v>
      </c>
      <c r="K20" s="358">
        <f t="shared" si="6"/>
        <v>326.82</v>
      </c>
      <c r="L20" s="356">
        <f t="shared" si="6"/>
        <v>326.82</v>
      </c>
      <c r="M20" s="356">
        <f t="shared" si="6"/>
        <v>326.82</v>
      </c>
      <c r="N20" s="2"/>
      <c r="O20" s="365" t="s">
        <v>252</v>
      </c>
      <c r="P20" s="366">
        <v>217.21</v>
      </c>
      <c r="Q20" s="2"/>
      <c r="R20" s="2"/>
      <c r="S20" s="2"/>
      <c r="T20" s="360">
        <f t="shared" si="0"/>
        <v>326.82</v>
      </c>
      <c r="U20" s="373" t="s">
        <v>147</v>
      </c>
      <c r="V20" s="2"/>
      <c r="W20" s="2"/>
      <c r="X20" s="2"/>
      <c r="Y20" s="2"/>
      <c r="Z20" s="2"/>
      <c r="AA20" s="2"/>
      <c r="AB20" s="2"/>
      <c r="AC20" s="2"/>
      <c r="AD20" s="2"/>
      <c r="AE20" s="2"/>
      <c r="AF20" s="2"/>
      <c r="AG20" s="2"/>
      <c r="AH20" s="2"/>
      <c r="AI20" s="2"/>
      <c r="AJ20" s="2"/>
      <c r="AK20" s="2"/>
      <c r="AL20" s="2"/>
      <c r="AM20" s="2"/>
      <c r="AN20" s="2"/>
      <c r="AO20" s="2"/>
      <c r="AP20" s="2"/>
      <c r="AQ20" s="2"/>
      <c r="AR20" s="2"/>
      <c r="AS20" s="2"/>
      <c r="AU20" s="1"/>
      <c r="AV20" s="1"/>
    </row>
    <row r="21" spans="2:48" ht="15" x14ac:dyDescent="0.25">
      <c r="C21" s="373" t="s">
        <v>143</v>
      </c>
      <c r="D21" s="394">
        <v>489</v>
      </c>
      <c r="E21" s="358">
        <f t="shared" si="6"/>
        <v>489</v>
      </c>
      <c r="F21" s="358">
        <f t="shared" si="6"/>
        <v>489</v>
      </c>
      <c r="G21" s="358">
        <f t="shared" si="6"/>
        <v>489</v>
      </c>
      <c r="H21" s="358">
        <f t="shared" si="6"/>
        <v>489</v>
      </c>
      <c r="I21" s="358">
        <f t="shared" si="6"/>
        <v>489</v>
      </c>
      <c r="J21" s="358">
        <f t="shared" si="6"/>
        <v>489</v>
      </c>
      <c r="K21" s="358">
        <f t="shared" si="6"/>
        <v>489</v>
      </c>
      <c r="L21" s="356">
        <f t="shared" si="6"/>
        <v>489</v>
      </c>
      <c r="M21" s="356">
        <f t="shared" si="6"/>
        <v>489</v>
      </c>
      <c r="N21" s="2"/>
      <c r="O21" s="369" t="s">
        <v>253</v>
      </c>
      <c r="P21" s="366">
        <v>203.02</v>
      </c>
      <c r="Q21" s="2"/>
      <c r="R21" s="2"/>
      <c r="S21" s="2"/>
      <c r="T21" s="360">
        <f t="shared" si="0"/>
        <v>489</v>
      </c>
      <c r="U21" s="373" t="s">
        <v>143</v>
      </c>
      <c r="V21" s="2"/>
      <c r="W21" s="2"/>
      <c r="X21" s="2"/>
      <c r="Y21" s="2"/>
      <c r="Z21" s="2"/>
      <c r="AA21" s="2"/>
      <c r="AB21" s="2"/>
      <c r="AC21" s="2"/>
      <c r="AD21" s="2"/>
      <c r="AE21" s="2"/>
      <c r="AF21" s="2"/>
      <c r="AG21" s="2"/>
      <c r="AH21" s="2"/>
      <c r="AI21" s="2"/>
      <c r="AJ21" s="2"/>
      <c r="AK21" s="2"/>
      <c r="AL21" s="2"/>
      <c r="AM21" s="2"/>
      <c r="AN21" s="2"/>
      <c r="AO21" s="2"/>
      <c r="AP21" s="2"/>
      <c r="AQ21" s="2"/>
      <c r="AR21" s="2"/>
      <c r="AS21" s="2"/>
      <c r="AU21" s="1"/>
      <c r="AV21" s="1"/>
    </row>
    <row r="22" spans="2:48" ht="15" x14ac:dyDescent="0.25">
      <c r="C22" s="373" t="s">
        <v>148</v>
      </c>
      <c r="D22" s="394">
        <f>+D21*78%</f>
        <v>381.42</v>
      </c>
      <c r="E22" s="358">
        <f t="shared" si="6"/>
        <v>381.42</v>
      </c>
      <c r="F22" s="358">
        <f t="shared" si="6"/>
        <v>381.42</v>
      </c>
      <c r="G22" s="358">
        <f t="shared" si="6"/>
        <v>381.42</v>
      </c>
      <c r="H22" s="358">
        <f t="shared" si="6"/>
        <v>381.42</v>
      </c>
      <c r="I22" s="358">
        <f t="shared" si="6"/>
        <v>381.42</v>
      </c>
      <c r="J22" s="358">
        <f t="shared" si="6"/>
        <v>381.42</v>
      </c>
      <c r="K22" s="358">
        <f t="shared" si="6"/>
        <v>381.42</v>
      </c>
      <c r="L22" s="356">
        <f t="shared" si="6"/>
        <v>381.42</v>
      </c>
      <c r="M22" s="356">
        <f t="shared" si="6"/>
        <v>381.42</v>
      </c>
      <c r="N22" s="2"/>
      <c r="O22" s="374" t="s">
        <v>371</v>
      </c>
      <c r="P22" s="366">
        <v>694.22</v>
      </c>
      <c r="Q22" s="2"/>
      <c r="R22" s="2"/>
      <c r="S22" s="2"/>
      <c r="T22" s="360">
        <f t="shared" si="0"/>
        <v>381.42</v>
      </c>
      <c r="U22" s="373" t="s">
        <v>148</v>
      </c>
      <c r="V22" s="2"/>
      <c r="W22" s="2"/>
      <c r="X22" s="2"/>
      <c r="Y22" s="2"/>
      <c r="Z22" s="2"/>
      <c r="AA22" s="2"/>
      <c r="AB22" s="2"/>
      <c r="AC22" s="2"/>
      <c r="AD22" s="2"/>
      <c r="AE22" s="2"/>
      <c r="AF22" s="2"/>
      <c r="AG22" s="2"/>
      <c r="AH22" s="2"/>
      <c r="AI22" s="2"/>
      <c r="AJ22" s="2"/>
      <c r="AK22" s="2"/>
      <c r="AL22" s="2"/>
      <c r="AM22" s="2"/>
      <c r="AN22" s="2"/>
      <c r="AO22" s="2"/>
      <c r="AP22" s="2"/>
      <c r="AQ22" s="2"/>
      <c r="AR22" s="2"/>
      <c r="AS22" s="2"/>
      <c r="AU22" s="1"/>
      <c r="AV22" s="1"/>
    </row>
    <row r="23" spans="2:48" ht="15" x14ac:dyDescent="0.25">
      <c r="C23" s="375" t="s">
        <v>254</v>
      </c>
      <c r="D23" s="394">
        <v>190.08</v>
      </c>
      <c r="E23" s="526">
        <v>171.96</v>
      </c>
      <c r="F23" s="526">
        <v>152.84</v>
      </c>
      <c r="G23" s="358">
        <f t="shared" si="6"/>
        <v>152.84</v>
      </c>
      <c r="H23" s="358">
        <f t="shared" si="6"/>
        <v>152.84</v>
      </c>
      <c r="I23" s="358">
        <f t="shared" si="6"/>
        <v>152.84</v>
      </c>
      <c r="J23" s="526">
        <v>137.58000000000001</v>
      </c>
      <c r="K23" s="358">
        <f>+J23</f>
        <v>137.58000000000001</v>
      </c>
      <c r="L23" s="356">
        <f t="shared" si="6"/>
        <v>137.58000000000001</v>
      </c>
      <c r="M23" s="356">
        <f t="shared" si="6"/>
        <v>137.58000000000001</v>
      </c>
      <c r="N23" s="2"/>
      <c r="O23" s="374" t="s">
        <v>372</v>
      </c>
      <c r="P23" s="366">
        <v>617.53</v>
      </c>
      <c r="Q23" s="2"/>
      <c r="R23" s="2"/>
      <c r="S23" s="2"/>
      <c r="T23" s="360">
        <f t="shared" si="0"/>
        <v>137.58000000000001</v>
      </c>
      <c r="U23" s="375" t="s">
        <v>254</v>
      </c>
      <c r="V23" s="2"/>
      <c r="W23" s="2"/>
      <c r="X23" s="2"/>
      <c r="Y23" s="2"/>
      <c r="Z23" s="2"/>
      <c r="AA23" s="2"/>
      <c r="AB23" s="2"/>
      <c r="AC23" s="2"/>
      <c r="AD23" s="2"/>
      <c r="AE23" s="2"/>
      <c r="AF23" s="2"/>
      <c r="AG23" s="2"/>
      <c r="AH23" s="2"/>
      <c r="AI23" s="2"/>
      <c r="AJ23" s="2"/>
      <c r="AK23" s="2"/>
      <c r="AL23" s="2"/>
      <c r="AM23" s="2"/>
      <c r="AN23" s="2"/>
      <c r="AO23" s="2"/>
      <c r="AP23" s="2"/>
      <c r="AQ23" s="2"/>
      <c r="AR23" s="2"/>
      <c r="AS23" s="2"/>
      <c r="AU23" s="1"/>
      <c r="AV23" s="1"/>
    </row>
    <row r="24" spans="2:48" ht="15" x14ac:dyDescent="0.25">
      <c r="C24" s="376" t="s">
        <v>255</v>
      </c>
      <c r="D24" s="394">
        <v>633.30999999999995</v>
      </c>
      <c r="E24" s="526">
        <v>572.77</v>
      </c>
      <c r="F24" s="526">
        <v>509.12</v>
      </c>
      <c r="G24" s="358">
        <f t="shared" si="6"/>
        <v>509.12</v>
      </c>
      <c r="H24" s="358">
        <f t="shared" si="6"/>
        <v>509.12</v>
      </c>
      <c r="I24" s="358">
        <f t="shared" si="6"/>
        <v>509.12</v>
      </c>
      <c r="J24" s="526">
        <v>458.22</v>
      </c>
      <c r="K24" s="358">
        <f>+J24</f>
        <v>458.22</v>
      </c>
      <c r="L24" s="356">
        <f t="shared" si="6"/>
        <v>458.22</v>
      </c>
      <c r="M24" s="356">
        <f t="shared" si="6"/>
        <v>458.22</v>
      </c>
      <c r="N24" s="2"/>
      <c r="O24" s="374" t="s">
        <v>373</v>
      </c>
      <c r="P24" s="366">
        <v>556.11</v>
      </c>
      <c r="Q24" s="2"/>
      <c r="R24" s="2"/>
      <c r="S24" s="2"/>
      <c r="T24" s="360">
        <f t="shared" si="0"/>
        <v>458.22</v>
      </c>
      <c r="U24" s="376" t="s">
        <v>255</v>
      </c>
      <c r="V24" s="2"/>
      <c r="W24" s="2"/>
      <c r="X24" s="2"/>
      <c r="Y24" s="2"/>
      <c r="Z24" s="2"/>
      <c r="AA24" s="2"/>
      <c r="AB24" s="2"/>
      <c r="AC24" s="2"/>
      <c r="AD24" s="2"/>
      <c r="AE24" s="2"/>
      <c r="AF24" s="2"/>
      <c r="AG24" s="2"/>
      <c r="AH24" s="2"/>
      <c r="AI24" s="2"/>
      <c r="AJ24" s="2"/>
      <c r="AK24" s="2"/>
      <c r="AL24" s="2"/>
      <c r="AM24" s="2"/>
      <c r="AN24" s="2"/>
      <c r="AO24" s="2"/>
      <c r="AP24" s="2"/>
      <c r="AQ24" s="2"/>
      <c r="AR24" s="2"/>
      <c r="AS24" s="2"/>
      <c r="AU24" s="1"/>
      <c r="AV24" s="1"/>
    </row>
    <row r="25" spans="2:48" ht="15" x14ac:dyDescent="0.25">
      <c r="C25" s="377" t="s">
        <v>18</v>
      </c>
      <c r="D25" s="394">
        <v>44.49</v>
      </c>
      <c r="E25" s="526">
        <v>40.21</v>
      </c>
      <c r="F25" s="526">
        <v>35.81</v>
      </c>
      <c r="G25" s="358">
        <f t="shared" si="6"/>
        <v>35.81</v>
      </c>
      <c r="H25" s="358">
        <f t="shared" si="6"/>
        <v>35.81</v>
      </c>
      <c r="I25" s="358">
        <f t="shared" si="6"/>
        <v>35.81</v>
      </c>
      <c r="J25" s="526">
        <v>32.200000000000003</v>
      </c>
      <c r="K25" s="358">
        <f>+J25</f>
        <v>32.200000000000003</v>
      </c>
      <c r="L25" s="356">
        <f t="shared" si="6"/>
        <v>32.200000000000003</v>
      </c>
      <c r="M25" s="356">
        <f t="shared" si="6"/>
        <v>32.200000000000003</v>
      </c>
      <c r="N25" s="2"/>
      <c r="O25" s="374" t="s">
        <v>374</v>
      </c>
      <c r="P25" s="366">
        <v>506.52</v>
      </c>
      <c r="Q25" s="2"/>
      <c r="R25" s="2"/>
      <c r="S25" s="2"/>
      <c r="T25" s="360">
        <f t="shared" si="0"/>
        <v>32.200000000000003</v>
      </c>
      <c r="U25" s="377" t="s">
        <v>18</v>
      </c>
      <c r="V25" s="2"/>
      <c r="W25" s="2"/>
      <c r="X25" s="2"/>
      <c r="Y25" s="2"/>
      <c r="Z25" s="2"/>
      <c r="AA25" s="2"/>
      <c r="AB25" s="2"/>
      <c r="AC25" s="2"/>
      <c r="AD25" s="2"/>
      <c r="AE25" s="2"/>
      <c r="AF25" s="2"/>
      <c r="AG25" s="2"/>
      <c r="AH25" s="2"/>
      <c r="AI25" s="2"/>
      <c r="AJ25" s="2"/>
      <c r="AK25" s="2"/>
      <c r="AL25" s="2"/>
      <c r="AM25" s="2"/>
      <c r="AN25" s="2"/>
      <c r="AO25" s="2"/>
      <c r="AP25" s="2"/>
      <c r="AQ25" s="2"/>
      <c r="AR25" s="2"/>
      <c r="AS25" s="2"/>
      <c r="AU25" s="1"/>
      <c r="AV25" s="1"/>
    </row>
    <row r="26" spans="2:48" ht="15" x14ac:dyDescent="0.25">
      <c r="C26" s="378" t="s">
        <v>20</v>
      </c>
      <c r="D26" s="394">
        <v>51.68</v>
      </c>
      <c r="E26" s="358">
        <f>+D26</f>
        <v>51.68</v>
      </c>
      <c r="F26" s="358">
        <f>+E26</f>
        <v>51.68</v>
      </c>
      <c r="G26" s="358">
        <f t="shared" si="6"/>
        <v>51.68</v>
      </c>
      <c r="H26" s="358">
        <f t="shared" si="6"/>
        <v>51.68</v>
      </c>
      <c r="I26" s="358">
        <f t="shared" si="6"/>
        <v>51.68</v>
      </c>
      <c r="J26" s="394">
        <v>40.68</v>
      </c>
      <c r="K26" s="358">
        <f>+J26</f>
        <v>40.68</v>
      </c>
      <c r="L26" s="356">
        <f t="shared" si="6"/>
        <v>40.68</v>
      </c>
      <c r="M26" s="356">
        <f t="shared" si="6"/>
        <v>40.68</v>
      </c>
      <c r="N26" s="2"/>
      <c r="O26" s="374" t="s">
        <v>375</v>
      </c>
      <c r="P26" s="366">
        <v>341.27</v>
      </c>
      <c r="Q26" s="2"/>
      <c r="R26" s="2"/>
      <c r="S26" s="2"/>
      <c r="T26" s="360">
        <f t="shared" si="0"/>
        <v>40.68</v>
      </c>
      <c r="U26" s="378" t="s">
        <v>20</v>
      </c>
      <c r="V26" s="2"/>
      <c r="W26" s="2"/>
      <c r="X26" s="2"/>
      <c r="Y26" s="2"/>
      <c r="Z26" s="2"/>
      <c r="AA26" s="2"/>
      <c r="AB26" s="2"/>
      <c r="AC26" s="2"/>
      <c r="AD26" s="2"/>
      <c r="AE26" s="2"/>
      <c r="AF26" s="2"/>
      <c r="AG26" s="2"/>
      <c r="AH26" s="2"/>
      <c r="AI26" s="2"/>
      <c r="AJ26" s="2"/>
      <c r="AK26" s="2"/>
      <c r="AL26" s="2"/>
      <c r="AM26" s="2"/>
      <c r="AN26" s="2"/>
      <c r="AO26" s="2"/>
      <c r="AP26" s="2"/>
      <c r="AQ26" s="2"/>
      <c r="AR26" s="2"/>
      <c r="AS26" s="2"/>
      <c r="AU26" s="1"/>
      <c r="AV26" s="1"/>
    </row>
    <row r="27" spans="2:48" ht="15" x14ac:dyDescent="0.25">
      <c r="C27" s="379" t="s">
        <v>21</v>
      </c>
      <c r="D27" s="394">
        <v>118.04</v>
      </c>
      <c r="E27" s="358">
        <f>+D27</f>
        <v>118.04</v>
      </c>
      <c r="F27" s="358">
        <f>+E27</f>
        <v>118.04</v>
      </c>
      <c r="G27" s="358">
        <f t="shared" si="6"/>
        <v>118.04</v>
      </c>
      <c r="H27" s="358">
        <f t="shared" si="6"/>
        <v>118.04</v>
      </c>
      <c r="I27" s="358">
        <f t="shared" si="6"/>
        <v>118.04</v>
      </c>
      <c r="J27" s="394">
        <v>92.9</v>
      </c>
      <c r="K27" s="358">
        <f>+J27</f>
        <v>92.9</v>
      </c>
      <c r="L27" s="356">
        <f t="shared" si="6"/>
        <v>92.9</v>
      </c>
      <c r="M27" s="356">
        <f t="shared" si="6"/>
        <v>92.9</v>
      </c>
      <c r="N27" s="2"/>
      <c r="O27" s="380" t="s">
        <v>376</v>
      </c>
      <c r="P27" s="366">
        <v>327.08999999999997</v>
      </c>
      <c r="Q27" s="2"/>
      <c r="R27" s="2"/>
      <c r="S27" s="2"/>
      <c r="T27" s="360">
        <f t="shared" si="0"/>
        <v>92.9</v>
      </c>
      <c r="U27" s="379" t="s">
        <v>21</v>
      </c>
      <c r="V27" s="2"/>
      <c r="W27" s="2"/>
      <c r="X27" s="2"/>
      <c r="Y27" s="2"/>
      <c r="Z27" s="2"/>
      <c r="AA27" s="2"/>
      <c r="AB27" s="2"/>
      <c r="AC27" s="2"/>
      <c r="AD27" s="2"/>
      <c r="AE27" s="2"/>
      <c r="AF27" s="2"/>
      <c r="AG27" s="2"/>
      <c r="AH27" s="2"/>
      <c r="AI27" s="2"/>
      <c r="AJ27" s="2"/>
      <c r="AK27" s="2"/>
      <c r="AL27" s="2"/>
      <c r="AM27" s="2"/>
      <c r="AN27" s="2"/>
      <c r="AO27" s="2"/>
      <c r="AP27" s="2"/>
      <c r="AQ27" s="2"/>
      <c r="AR27" s="2"/>
      <c r="AS27" s="2"/>
      <c r="AU27" s="1"/>
      <c r="AV27" s="1"/>
    </row>
    <row r="28" spans="2:48" ht="15" x14ac:dyDescent="0.25">
      <c r="C28" s="2"/>
      <c r="D28" s="2"/>
      <c r="E28" s="2"/>
      <c r="F28" s="2"/>
      <c r="G28" s="2"/>
      <c r="H28" s="2"/>
      <c r="I28" s="2"/>
      <c r="J28" s="2"/>
      <c r="K28" s="2"/>
      <c r="L28" s="2"/>
      <c r="M28" s="2"/>
      <c r="N28" s="2"/>
      <c r="O28" s="380" t="s">
        <v>377</v>
      </c>
      <c r="P28" s="366">
        <v>253.88</v>
      </c>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U28" s="1"/>
      <c r="AV28" s="1"/>
    </row>
    <row r="29" spans="2:48" ht="15" x14ac:dyDescent="0.25">
      <c r="B29" s="2"/>
      <c r="C29" s="2"/>
      <c r="D29" s="2"/>
      <c r="E29" s="2"/>
      <c r="F29" s="2"/>
      <c r="G29" s="2"/>
      <c r="H29" s="2"/>
      <c r="I29" s="2"/>
      <c r="J29" s="2"/>
      <c r="K29" s="2"/>
      <c r="L29" s="2"/>
      <c r="M29" s="2"/>
      <c r="N29" s="2"/>
      <c r="O29" s="380" t="s">
        <v>378</v>
      </c>
      <c r="P29" s="366">
        <v>203.13</v>
      </c>
      <c r="Q29" s="2"/>
      <c r="R29" s="2"/>
      <c r="S29" s="355" t="s">
        <v>10</v>
      </c>
      <c r="T29" s="387">
        <f>INT(((+'Tiempos de cotización'!G11+'Tiempos de cotización'!G16)/365.25)/3)</f>
        <v>9</v>
      </c>
      <c r="U29" s="2"/>
      <c r="V29" s="2"/>
      <c r="W29" s="2"/>
      <c r="X29" s="2"/>
      <c r="Y29" s="2"/>
      <c r="Z29" s="2"/>
      <c r="AA29" s="2"/>
      <c r="AB29" s="2"/>
      <c r="AC29" s="2"/>
      <c r="AD29" s="2"/>
      <c r="AE29" s="2"/>
      <c r="AF29" s="2"/>
      <c r="AG29" s="2"/>
      <c r="AH29" s="2"/>
      <c r="AI29" s="2"/>
      <c r="AJ29" s="2"/>
      <c r="AK29" s="2"/>
      <c r="AL29" s="2"/>
      <c r="AM29" s="2"/>
      <c r="AN29" s="2"/>
      <c r="AO29" s="2"/>
      <c r="AP29" s="2"/>
      <c r="AQ29" s="2"/>
      <c r="AR29" s="2"/>
      <c r="AS29" s="2"/>
      <c r="AU29" s="1"/>
      <c r="AV29" s="1"/>
    </row>
    <row r="30" spans="2:48" ht="15" x14ac:dyDescent="0.25">
      <c r="C30" s="2"/>
      <c r="D30" s="2"/>
      <c r="E30" s="2"/>
      <c r="F30" s="2"/>
      <c r="G30" s="2"/>
      <c r="H30" s="2"/>
      <c r="I30" s="2"/>
      <c r="J30" s="2"/>
      <c r="K30" s="2"/>
      <c r="L30" s="2"/>
      <c r="M30" s="2"/>
      <c r="N30" s="2"/>
      <c r="O30" s="380" t="s">
        <v>379</v>
      </c>
      <c r="P30" s="366">
        <v>341.27</v>
      </c>
      <c r="Q30" s="2"/>
      <c r="R30" s="2"/>
      <c r="S30" s="355" t="s">
        <v>94</v>
      </c>
      <c r="T30" s="381">
        <f>INT(((+'Tiempos de cotización'!G11+'Tiempos de cotización'!G16)/365.25)/6)</f>
        <v>4</v>
      </c>
      <c r="U30" s="2"/>
      <c r="V30" s="2"/>
      <c r="W30" s="2"/>
      <c r="X30" s="2"/>
      <c r="Y30" s="2"/>
      <c r="Z30" s="2"/>
      <c r="AA30" s="2"/>
      <c r="AB30" s="2"/>
      <c r="AC30" s="2"/>
      <c r="AD30" s="2"/>
      <c r="AE30" s="2"/>
      <c r="AF30" s="2"/>
      <c r="AG30" s="2"/>
      <c r="AH30" s="2"/>
      <c r="AI30" s="2"/>
      <c r="AJ30" s="2"/>
      <c r="AK30" s="2"/>
      <c r="AL30" s="2"/>
      <c r="AM30" s="2"/>
      <c r="AN30" s="2"/>
      <c r="AO30" s="2"/>
      <c r="AP30" s="2"/>
      <c r="AQ30" s="2"/>
      <c r="AR30" s="2"/>
      <c r="AS30" s="2"/>
      <c r="AU30" s="1"/>
      <c r="AV30" s="1"/>
    </row>
    <row r="31" spans="2:48" ht="15" x14ac:dyDescent="0.25">
      <c r="C31" s="2"/>
      <c r="D31" s="2"/>
      <c r="E31" s="2"/>
      <c r="F31" s="2"/>
      <c r="G31" s="2"/>
      <c r="H31" s="2"/>
      <c r="I31" s="2"/>
      <c r="J31" s="2"/>
      <c r="K31" s="2"/>
      <c r="L31" s="2"/>
      <c r="M31" s="2"/>
      <c r="N31" s="2"/>
      <c r="O31" s="380" t="s">
        <v>380</v>
      </c>
      <c r="P31" s="366">
        <v>327.08999999999997</v>
      </c>
      <c r="Q31" s="2"/>
      <c r="R31" s="2"/>
      <c r="S31" s="355" t="s">
        <v>152</v>
      </c>
      <c r="T31" s="382" t="str">
        <f>+Datos!S20</f>
        <v>Isla Capitalina</v>
      </c>
      <c r="U31" s="2"/>
      <c r="V31" s="2"/>
      <c r="W31" s="2"/>
      <c r="X31" s="2"/>
      <c r="Y31" s="2"/>
      <c r="Z31" s="2"/>
      <c r="AA31" s="2"/>
      <c r="AB31" s="2"/>
      <c r="AC31" s="2"/>
      <c r="AD31" s="2"/>
      <c r="AE31" s="2"/>
      <c r="AF31" s="2"/>
      <c r="AG31" s="2"/>
      <c r="AH31" s="2"/>
      <c r="AI31" s="2"/>
      <c r="AJ31" s="2"/>
      <c r="AK31" s="2"/>
      <c r="AL31" s="2"/>
      <c r="AM31" s="2"/>
      <c r="AN31" s="2"/>
      <c r="AO31" s="2"/>
      <c r="AP31" s="2"/>
      <c r="AQ31" s="2"/>
      <c r="AR31" s="2"/>
      <c r="AS31" s="2"/>
      <c r="AU31" s="1"/>
      <c r="AV31" s="1"/>
    </row>
    <row r="32" spans="2:48" ht="15" x14ac:dyDescent="0.25">
      <c r="C32" s="2"/>
      <c r="D32" s="2"/>
      <c r="E32" s="2"/>
      <c r="F32" s="2"/>
      <c r="G32" s="2"/>
      <c r="H32" s="2"/>
      <c r="I32" s="2"/>
      <c r="J32" s="2"/>
      <c r="K32" s="2"/>
      <c r="L32" s="2"/>
      <c r="M32" s="2"/>
      <c r="N32" s="2"/>
      <c r="O32" s="374" t="s">
        <v>381</v>
      </c>
      <c r="P32" s="366">
        <v>253.88</v>
      </c>
      <c r="Q32" s="2"/>
      <c r="R32" s="2"/>
      <c r="S32" s="355" t="s">
        <v>360</v>
      </c>
      <c r="T32" s="388">
        <f>+IRPFNómina!B37</f>
        <v>0.23668883778834307</v>
      </c>
      <c r="U32" s="2"/>
      <c r="V32" s="2"/>
      <c r="W32" s="2"/>
      <c r="X32" s="2"/>
      <c r="Y32" s="2"/>
      <c r="Z32" s="2"/>
      <c r="AA32" s="2"/>
      <c r="AB32" s="2"/>
      <c r="AC32" s="2"/>
      <c r="AD32" s="2"/>
      <c r="AE32" s="2"/>
      <c r="AF32" s="2"/>
      <c r="AG32" s="2"/>
      <c r="AH32" s="2"/>
      <c r="AI32" s="2"/>
      <c r="AJ32" s="2"/>
      <c r="AK32" s="2"/>
      <c r="AL32" s="2"/>
      <c r="AM32" s="2"/>
      <c r="AN32" s="2"/>
      <c r="AO32" s="2"/>
      <c r="AP32" s="2"/>
      <c r="AQ32" s="2"/>
      <c r="AR32" s="2"/>
      <c r="AS32" s="2"/>
      <c r="AU32" s="1"/>
      <c r="AV32" s="1"/>
    </row>
    <row r="33" spans="3:48" ht="15" x14ac:dyDescent="0.25">
      <c r="C33" s="2"/>
      <c r="D33" s="2"/>
      <c r="E33" s="2"/>
      <c r="F33" s="2"/>
      <c r="G33" s="2"/>
      <c r="H33" s="2"/>
      <c r="I33" s="2"/>
      <c r="J33" s="2"/>
      <c r="K33" s="2"/>
      <c r="L33" s="2"/>
      <c r="M33" s="2"/>
      <c r="N33" s="2"/>
      <c r="O33" s="374" t="s">
        <v>382</v>
      </c>
      <c r="P33" s="366">
        <v>203.13</v>
      </c>
      <c r="Q33" s="2"/>
      <c r="R33" s="2"/>
      <c r="S33" s="2" t="s">
        <v>361</v>
      </c>
      <c r="T33" s="294">
        <f>((+T5+T9+T11+(T7*T29)+(IF(T30=1,T13,IF(T30=2,T15,IF(T30=3,T17,IF(T30=4,T19,IF(T30&gt;4,T21,0)))))))*12)+((T6+T10+T12+(T8*T29)+(IF(T30=1,T13*0.78,IF(T30=2,T15*0.78,IF(T30=3,T17*0.78,IF(T30=4,T19*0.78,IF(T30&gt;4,T21*0.78,0)))))))*2)+(IF(T31="Isla No Capitalina",(T24+(T25*T29))*12,T23*12))</f>
        <v>45705.1</v>
      </c>
      <c r="U33" s="2"/>
      <c r="V33" s="2"/>
      <c r="W33" s="2"/>
      <c r="X33" s="2"/>
      <c r="Y33" s="2"/>
      <c r="Z33" s="2"/>
      <c r="AA33" s="2"/>
      <c r="AB33" s="2"/>
      <c r="AC33" s="2"/>
      <c r="AD33" s="2"/>
      <c r="AE33" s="2"/>
      <c r="AF33" s="2"/>
      <c r="AG33" s="2"/>
      <c r="AH33" s="2"/>
      <c r="AI33" s="2"/>
      <c r="AJ33" s="2"/>
      <c r="AK33" s="2"/>
      <c r="AL33" s="2"/>
      <c r="AM33" s="2"/>
      <c r="AN33" s="2"/>
      <c r="AO33" s="2"/>
      <c r="AP33" s="2"/>
      <c r="AQ33" s="2"/>
      <c r="AR33" s="2"/>
      <c r="AS33" s="2"/>
      <c r="AU33" s="1"/>
      <c r="AV33" s="1"/>
    </row>
    <row r="34" spans="3:48" ht="15" x14ac:dyDescent="0.25">
      <c r="C34" s="2"/>
      <c r="D34" s="2"/>
      <c r="E34" s="2"/>
      <c r="F34" s="2"/>
      <c r="G34" s="2"/>
      <c r="H34" s="2"/>
      <c r="I34" s="2"/>
      <c r="J34" s="2"/>
      <c r="K34" s="2"/>
      <c r="L34" s="2"/>
      <c r="M34" s="2"/>
      <c r="N34" s="2"/>
      <c r="O34" s="374" t="s">
        <v>383</v>
      </c>
      <c r="P34" s="366">
        <v>341.27</v>
      </c>
      <c r="Q34" s="2"/>
      <c r="R34" s="2"/>
      <c r="S34" s="2" t="s">
        <v>362</v>
      </c>
      <c r="T34" s="294">
        <f>((+T5+T9+T11+(T7*T29)+(IF(T30=1,T13,IF(T30=2,T15,IF(T30=3,T17,IF(T30=4,T19,IF(T30&gt;4,T21,0)))))))*1)+( IF(T31="Isla No Capitalina",(T24+(T25*T29)),T23))</f>
        <v>3379.31</v>
      </c>
      <c r="U34" s="2"/>
      <c r="V34" s="2"/>
      <c r="W34" s="2"/>
      <c r="X34" s="2"/>
      <c r="Y34" s="2"/>
      <c r="Z34" s="2"/>
      <c r="AA34" s="2"/>
      <c r="AB34" s="2"/>
      <c r="AC34" s="2"/>
      <c r="AD34" s="2"/>
      <c r="AE34" s="2"/>
      <c r="AF34" s="2"/>
      <c r="AG34" s="2"/>
      <c r="AH34" s="2"/>
      <c r="AI34" s="2"/>
      <c r="AJ34" s="2"/>
      <c r="AK34" s="2"/>
      <c r="AL34" s="2"/>
      <c r="AM34" s="2"/>
      <c r="AN34" s="2"/>
      <c r="AO34" s="2"/>
      <c r="AP34" s="2"/>
      <c r="AQ34" s="2"/>
      <c r="AR34" s="2"/>
      <c r="AS34" s="2"/>
      <c r="AU34" s="1"/>
      <c r="AV34" s="1"/>
    </row>
    <row r="35" spans="3:48" ht="15" x14ac:dyDescent="0.25">
      <c r="C35" s="2"/>
      <c r="D35" s="2"/>
      <c r="E35" s="2"/>
      <c r="F35" s="2"/>
      <c r="G35" s="2"/>
      <c r="H35" s="2"/>
      <c r="I35" s="2"/>
      <c r="J35" s="2"/>
      <c r="K35" s="2"/>
      <c r="L35" s="2"/>
      <c r="M35" s="2"/>
      <c r="N35" s="2"/>
      <c r="O35" s="374" t="s">
        <v>384</v>
      </c>
      <c r="P35" s="366">
        <v>327.08999999999997</v>
      </c>
      <c r="Q35" s="2"/>
      <c r="R35" s="2"/>
      <c r="S35" s="2" t="s">
        <v>363</v>
      </c>
      <c r="T35" s="294">
        <f>((+T5+T9+T11+(T7*T29)+(IF(T30=1,T13,IF(T30=2,T15,IF(T30=3,T17,IF(T30=4,T19,IF(T30&gt;4,T21,0)))))))*12)+((T6+T10+T12+(T8*T29)+(IF(T30=1,T13*0.78,IF(T30=2,T15*0.78,IF(T30=3,T17*0.78,IF(T30=4,T19*0.78,IF(T30&gt;4,T21*0.78,0)))))))*2)+(IF(T31="Isla No Capitalina",(T24+(T25*T29))*12,T23*12))-((T26+T27)*14)-(T33*T32)</f>
        <v>33017.092999999993</v>
      </c>
      <c r="U35" s="294">
        <f>+T33-T35</f>
        <v>12688.007000000005</v>
      </c>
      <c r="V35" s="2"/>
      <c r="W35" s="2"/>
      <c r="X35" s="2"/>
      <c r="Y35" s="2"/>
      <c r="Z35" s="2"/>
      <c r="AA35" s="2"/>
      <c r="AB35" s="2"/>
      <c r="AC35" s="2"/>
      <c r="AD35" s="2"/>
      <c r="AE35" s="2"/>
      <c r="AF35" s="2"/>
      <c r="AG35" s="2"/>
      <c r="AH35" s="2"/>
      <c r="AI35" s="2"/>
      <c r="AJ35" s="2"/>
      <c r="AK35" s="2"/>
      <c r="AL35" s="2"/>
      <c r="AM35" s="2"/>
      <c r="AN35" s="2"/>
      <c r="AO35" s="2"/>
      <c r="AP35" s="2"/>
      <c r="AQ35" s="2"/>
      <c r="AR35" s="2"/>
      <c r="AS35" s="2"/>
      <c r="AU35" s="1"/>
      <c r="AV35" s="1"/>
    </row>
    <row r="36" spans="3:48" ht="15" x14ac:dyDescent="0.25">
      <c r="C36" s="2"/>
      <c r="D36" s="2"/>
      <c r="E36" s="2"/>
      <c r="F36" s="2"/>
      <c r="G36" s="2"/>
      <c r="H36" s="2"/>
      <c r="I36" s="2"/>
      <c r="J36" s="2"/>
      <c r="K36" s="2"/>
      <c r="L36" s="2"/>
      <c r="M36" s="2"/>
      <c r="N36" s="2"/>
      <c r="O36" s="374" t="s">
        <v>385</v>
      </c>
      <c r="P36" s="366">
        <v>253.88</v>
      </c>
      <c r="Q36" s="2"/>
      <c r="R36" s="2"/>
      <c r="S36" s="2" t="s">
        <v>364</v>
      </c>
      <c r="T36" s="294">
        <f>((+T5+T9+T11+(T7*T29)+(IF(T30=1,T13,IF(T30=2,T15,IF(T30=3,T17,IF(T30=4,T19,IF(T30&gt;4,T21,0)))))))*1)+( IF(T31="Isla No Capitalina",(T24+(T25*T29)),T23))-T26-T27-(T34*T32)</f>
        <v>2445.8850435734744</v>
      </c>
      <c r="U36" s="294">
        <f>+T34-T36</f>
        <v>933.42495642652557</v>
      </c>
      <c r="V36" s="2"/>
      <c r="W36" s="2"/>
      <c r="X36" s="2"/>
      <c r="Y36" s="2"/>
      <c r="Z36" s="2"/>
      <c r="AA36" s="2"/>
      <c r="AB36" s="2"/>
      <c r="AC36" s="2"/>
      <c r="AD36" s="2"/>
      <c r="AE36" s="2"/>
      <c r="AF36" s="2"/>
      <c r="AG36" s="2"/>
      <c r="AH36" s="2"/>
      <c r="AI36" s="2"/>
      <c r="AJ36" s="2"/>
      <c r="AK36" s="2"/>
      <c r="AL36" s="2"/>
      <c r="AM36" s="2"/>
      <c r="AN36" s="2"/>
      <c r="AO36" s="2"/>
      <c r="AP36" s="2"/>
      <c r="AQ36" s="2"/>
      <c r="AR36" s="2"/>
      <c r="AS36" s="2"/>
      <c r="AU36" s="1"/>
      <c r="AV36" s="1"/>
    </row>
    <row r="37" spans="3:48" ht="15" x14ac:dyDescent="0.25">
      <c r="C37" s="2"/>
      <c r="D37" s="2"/>
      <c r="E37" s="2"/>
      <c r="F37" s="2"/>
      <c r="G37" s="2"/>
      <c r="H37" s="2"/>
      <c r="I37" s="2"/>
      <c r="J37" s="2"/>
      <c r="K37" s="2"/>
      <c r="L37" s="2"/>
      <c r="M37" s="2"/>
      <c r="N37" s="2"/>
      <c r="O37" s="374" t="s">
        <v>386</v>
      </c>
      <c r="P37" s="366">
        <v>203.13</v>
      </c>
      <c r="Q37" s="2"/>
      <c r="R37" s="2"/>
      <c r="S37" s="2" t="s">
        <v>365</v>
      </c>
      <c r="T37" s="294">
        <f>((+T5+T9+T11+(T7*T29)+(IF(T30=1,T13,IF(T30=2,T15,IF(T30=3,T17,IF(T30=4,T19,IF(T30&gt;4,T21,0)))))))*1)+(IF(T31="Isla No Capitalina",(T24+(T25*T29)),T23))+(T6+(T8*T29)+T10+T12)+(IF(T30=1,T14,IF(T30=2,T16,IF(T30=3,T18,IF(T30=4,T20,IF(T30&gt;4,T22,0))))))</f>
        <v>5956</v>
      </c>
      <c r="U37" s="2"/>
      <c r="V37" s="2"/>
      <c r="W37" s="2"/>
      <c r="X37" s="2"/>
      <c r="Y37" s="2"/>
      <c r="Z37" s="2"/>
      <c r="AA37" s="2"/>
      <c r="AB37" s="2"/>
      <c r="AC37" s="2"/>
      <c r="AD37" s="2"/>
      <c r="AE37" s="2"/>
      <c r="AF37" s="2"/>
      <c r="AG37" s="2"/>
      <c r="AH37" s="2"/>
      <c r="AI37" s="2"/>
      <c r="AJ37" s="2"/>
      <c r="AK37" s="2"/>
      <c r="AL37" s="2"/>
      <c r="AM37" s="2"/>
      <c r="AN37" s="2"/>
      <c r="AO37" s="2"/>
      <c r="AP37" s="2"/>
      <c r="AQ37" s="2"/>
      <c r="AR37" s="2"/>
      <c r="AS37" s="2"/>
      <c r="AU37" s="1"/>
      <c r="AV37" s="1"/>
    </row>
    <row r="38" spans="3:48" ht="15" x14ac:dyDescent="0.25">
      <c r="C38" s="2"/>
      <c r="D38" s="2"/>
      <c r="E38" s="2"/>
      <c r="F38" s="2"/>
      <c r="G38" s="2"/>
      <c r="H38" s="2"/>
      <c r="I38" s="2"/>
      <c r="J38" s="2"/>
      <c r="K38" s="2"/>
      <c r="L38" s="2"/>
      <c r="M38" s="2"/>
      <c r="N38" s="2"/>
      <c r="O38" s="374" t="s">
        <v>387</v>
      </c>
      <c r="P38" s="366">
        <v>170.65</v>
      </c>
      <c r="Q38" s="2"/>
      <c r="R38" s="2"/>
      <c r="S38" s="2" t="s">
        <v>366</v>
      </c>
      <c r="T38" s="294">
        <f>((+T5+T9+T11+(T7*T29)+(IF(T30=1,T13,IF(T30=2,T15,IF(T30=3,T17,IF(T30=4,T19,IF(T30&gt;4,T21,0)))))))*1)+(IF(T31="Isla No Capitalina",(T24+(T25*T29)),T23))+(T6+(T8*T29)+T10+T12)+(IF(T30=1,T14,IF(T30=2,T16,IF(T30=3,T18,IF(T30=4,T20,IF(T30&gt;4,T22,0))))))-((T26+T27)*2)-(T37*T32)</f>
        <v>4279.1212821326289</v>
      </c>
      <c r="U38" s="2"/>
      <c r="V38" s="2"/>
      <c r="W38" s="2"/>
      <c r="X38" s="2"/>
      <c r="Y38" s="2"/>
      <c r="Z38" s="2"/>
      <c r="AA38" s="2"/>
      <c r="AB38" s="2"/>
      <c r="AC38" s="2"/>
      <c r="AD38" s="2"/>
      <c r="AE38" s="2"/>
      <c r="AF38" s="2"/>
      <c r="AG38" s="2"/>
      <c r="AH38" s="2"/>
      <c r="AI38" s="2"/>
      <c r="AJ38" s="2"/>
      <c r="AK38" s="2"/>
      <c r="AL38" s="2"/>
      <c r="AM38" s="2"/>
      <c r="AN38" s="2"/>
      <c r="AO38" s="2"/>
      <c r="AP38" s="2"/>
      <c r="AQ38" s="2"/>
      <c r="AR38" s="2"/>
      <c r="AS38" s="2"/>
      <c r="AU38" s="1"/>
      <c r="AV38" s="1"/>
    </row>
    <row r="39" spans="3:48" ht="15" x14ac:dyDescent="0.25">
      <c r="C39" s="2"/>
      <c r="D39" s="2"/>
      <c r="E39" s="2"/>
      <c r="F39" s="2"/>
      <c r="G39" s="2"/>
      <c r="H39" s="2"/>
      <c r="I39" s="2"/>
      <c r="J39" s="2"/>
      <c r="K39" s="2"/>
      <c r="L39" s="2"/>
      <c r="M39" s="2"/>
      <c r="N39" s="2"/>
      <c r="O39" s="380" t="s">
        <v>388</v>
      </c>
      <c r="P39" s="366">
        <v>163.57</v>
      </c>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U39" s="1"/>
      <c r="AV39" s="1"/>
    </row>
    <row r="40" spans="3:48" ht="15" x14ac:dyDescent="0.25">
      <c r="C40" s="2"/>
      <c r="D40" s="2"/>
      <c r="E40" s="2"/>
      <c r="F40" s="2"/>
      <c r="G40" s="2"/>
      <c r="H40" s="2"/>
      <c r="I40" s="2"/>
      <c r="J40" s="2"/>
      <c r="K40" s="2"/>
      <c r="L40" s="2"/>
      <c r="M40" s="2"/>
      <c r="N40" s="2"/>
      <c r="O40" s="380" t="s">
        <v>389</v>
      </c>
      <c r="P40" s="366">
        <v>126.98</v>
      </c>
      <c r="Q40" s="2"/>
      <c r="R40" s="2"/>
      <c r="S40" s="396" t="s">
        <v>437</v>
      </c>
      <c r="T40" s="397">
        <f>+T5+(T29*T7)</f>
        <v>1492.32</v>
      </c>
      <c r="U40" s="2"/>
      <c r="V40" s="2"/>
      <c r="W40" s="2"/>
      <c r="AU40" s="1"/>
      <c r="AV40" s="1"/>
    </row>
    <row r="41" spans="3:48" ht="15" x14ac:dyDescent="0.25">
      <c r="C41" s="2"/>
      <c r="D41" s="2"/>
      <c r="E41" s="2"/>
      <c r="F41" s="2"/>
      <c r="G41" s="2"/>
      <c r="H41" s="2"/>
      <c r="I41" s="2"/>
      <c r="J41" s="2"/>
      <c r="K41" s="2"/>
      <c r="L41" s="2"/>
      <c r="M41" s="2"/>
      <c r="N41" s="2"/>
      <c r="O41" s="380" t="s">
        <v>390</v>
      </c>
      <c r="P41" s="366">
        <v>101.61</v>
      </c>
      <c r="Q41" s="2"/>
      <c r="R41" s="2"/>
      <c r="S41" s="2"/>
      <c r="T41" s="2"/>
      <c r="U41" s="2"/>
      <c r="V41" s="2"/>
      <c r="W41" s="2"/>
      <c r="AU41" s="1"/>
      <c r="AV41" s="1"/>
    </row>
    <row r="42" spans="3:48" ht="15" x14ac:dyDescent="0.25">
      <c r="C42" s="2"/>
      <c r="D42" s="2"/>
      <c r="E42" s="2"/>
      <c r="F42" s="2"/>
      <c r="G42" s="2"/>
      <c r="H42" s="2"/>
      <c r="I42" s="2"/>
      <c r="J42" s="2"/>
      <c r="K42" s="2"/>
      <c r="M42" s="2"/>
      <c r="N42" s="2"/>
      <c r="O42" s="354" t="s">
        <v>262</v>
      </c>
      <c r="P42" s="366">
        <v>363.85</v>
      </c>
      <c r="Q42" s="2"/>
      <c r="R42" s="2"/>
      <c r="S42" s="2"/>
      <c r="T42" s="2"/>
      <c r="U42" s="2"/>
      <c r="V42" s="2"/>
      <c r="W42" s="2"/>
      <c r="AU42" s="1"/>
      <c r="AV42" s="1"/>
    </row>
    <row r="43" spans="3:48" ht="15" x14ac:dyDescent="0.25">
      <c r="F43" s="2"/>
      <c r="J43" s="2"/>
      <c r="K43" s="2"/>
      <c r="O43" s="354" t="s">
        <v>263</v>
      </c>
      <c r="P43" s="366">
        <v>337.67</v>
      </c>
      <c r="Q43" s="2"/>
      <c r="S43" s="2" t="s">
        <v>95</v>
      </c>
      <c r="T43" s="412">
        <f>ROUND(+T33*6.47%,2)</f>
        <v>2957.12</v>
      </c>
      <c r="AU43" s="1"/>
      <c r="AV43" s="1"/>
    </row>
    <row r="44" spans="3:48" ht="15" x14ac:dyDescent="0.25">
      <c r="J44" s="2"/>
      <c r="K44" s="2"/>
      <c r="O44" s="383" t="s">
        <v>264</v>
      </c>
      <c r="P44" s="366">
        <v>175.77</v>
      </c>
      <c r="Q44" s="2"/>
      <c r="AU44" s="1"/>
      <c r="AV44" s="1"/>
    </row>
    <row r="45" spans="3:48" ht="15" x14ac:dyDescent="0.25">
      <c r="J45" s="2"/>
      <c r="K45" s="2"/>
      <c r="O45" s="383" t="s">
        <v>266</v>
      </c>
      <c r="P45" s="366">
        <v>105.86</v>
      </c>
      <c r="Q45" s="2"/>
      <c r="AU45" s="1"/>
      <c r="AV45" s="1"/>
    </row>
    <row r="46" spans="3:48" ht="15" x14ac:dyDescent="0.25">
      <c r="O46" s="383" t="s">
        <v>267</v>
      </c>
      <c r="P46" s="366">
        <v>412.01</v>
      </c>
      <c r="Q46" s="2"/>
      <c r="AU46" s="1"/>
      <c r="AV46" s="1"/>
    </row>
    <row r="47" spans="3:48" ht="15" x14ac:dyDescent="0.25">
      <c r="O47" s="383" t="s">
        <v>268</v>
      </c>
      <c r="P47" s="366">
        <v>234.05</v>
      </c>
      <c r="Q47" s="2"/>
      <c r="AU47" s="1"/>
      <c r="AV47" s="1"/>
    </row>
    <row r="48" spans="3:48" x14ac:dyDescent="0.2">
      <c r="O48" s="1" t="s">
        <v>281</v>
      </c>
      <c r="P48" s="15"/>
      <c r="AU48" s="1"/>
      <c r="AV48" s="1"/>
    </row>
    <row r="49" spans="15:49" ht="15" x14ac:dyDescent="0.25">
      <c r="O49" s="354" t="s">
        <v>272</v>
      </c>
      <c r="P49" s="366">
        <v>70.89</v>
      </c>
      <c r="AU49" s="1"/>
      <c r="AV49" s="1"/>
    </row>
    <row r="50" spans="15:49" ht="15" x14ac:dyDescent="0.25">
      <c r="O50" s="354" t="s">
        <v>256</v>
      </c>
      <c r="P50" s="384">
        <v>139.4</v>
      </c>
      <c r="AU50" s="1"/>
      <c r="AV50" s="1"/>
      <c r="AW50" s="1" t="s">
        <v>292</v>
      </c>
    </row>
    <row r="51" spans="15:49" ht="15" x14ac:dyDescent="0.25">
      <c r="O51" s="354" t="s">
        <v>257</v>
      </c>
      <c r="P51" s="384">
        <v>147</v>
      </c>
      <c r="AU51" s="1"/>
      <c r="AV51" s="1"/>
      <c r="AW51" s="1" t="s">
        <v>292</v>
      </c>
    </row>
    <row r="52" spans="15:49" ht="15" x14ac:dyDescent="0.25">
      <c r="O52" s="354" t="s">
        <v>258</v>
      </c>
      <c r="P52" s="384">
        <v>157.80000000000001</v>
      </c>
      <c r="AU52" s="1"/>
      <c r="AV52" s="1"/>
      <c r="AW52" s="1" t="s">
        <v>292</v>
      </c>
    </row>
    <row r="53" spans="15:49" ht="15" x14ac:dyDescent="0.25">
      <c r="O53" s="354" t="s">
        <v>259</v>
      </c>
      <c r="P53" s="384">
        <v>121.7</v>
      </c>
      <c r="AU53" s="1"/>
      <c r="AV53" s="1"/>
      <c r="AW53" s="1" t="s">
        <v>292</v>
      </c>
    </row>
    <row r="54" spans="15:49" ht="15" x14ac:dyDescent="0.25">
      <c r="O54" s="383" t="s">
        <v>260</v>
      </c>
      <c r="P54" s="384">
        <v>128.5</v>
      </c>
      <c r="AU54" s="1"/>
      <c r="AV54" s="1"/>
      <c r="AW54" s="1" t="s">
        <v>292</v>
      </c>
    </row>
    <row r="55" spans="15:49" ht="15" x14ac:dyDescent="0.25">
      <c r="O55" s="383" t="s">
        <v>261</v>
      </c>
      <c r="P55" s="384">
        <v>135.80000000000001</v>
      </c>
      <c r="AU55" s="1"/>
      <c r="AV55" s="1"/>
      <c r="AW55" s="1" t="s">
        <v>292</v>
      </c>
    </row>
    <row r="56" spans="15:49" ht="15" x14ac:dyDescent="0.25">
      <c r="O56" s="383" t="s">
        <v>265</v>
      </c>
      <c r="P56" s="366">
        <v>152.49</v>
      </c>
      <c r="AU56" s="1"/>
      <c r="AV56" s="1"/>
    </row>
    <row r="57" spans="15:49" ht="15" x14ac:dyDescent="0.25">
      <c r="O57" s="383" t="s">
        <v>269</v>
      </c>
      <c r="P57" s="366">
        <v>20.84</v>
      </c>
      <c r="AU57" s="1"/>
      <c r="AV57" s="1"/>
      <c r="AW57" s="1" t="s">
        <v>293</v>
      </c>
    </row>
    <row r="58" spans="15:49" ht="15" x14ac:dyDescent="0.25">
      <c r="O58" s="383" t="s">
        <v>270</v>
      </c>
      <c r="P58" s="366">
        <v>17.73</v>
      </c>
      <c r="AU58" s="1"/>
      <c r="AV58" s="1"/>
      <c r="AW58" s="1" t="s">
        <v>293</v>
      </c>
    </row>
    <row r="59" spans="15:49" ht="15" x14ac:dyDescent="0.25">
      <c r="O59" s="354" t="s">
        <v>271</v>
      </c>
      <c r="P59" s="366">
        <f>+N11</f>
        <v>85.83</v>
      </c>
      <c r="AU59" s="1"/>
      <c r="AV59" s="1"/>
      <c r="AW59" s="1" t="s">
        <v>391</v>
      </c>
    </row>
    <row r="60" spans="15:49" ht="15" x14ac:dyDescent="0.25">
      <c r="O60" s="293" t="s">
        <v>282</v>
      </c>
      <c r="P60" s="15"/>
      <c r="AU60" s="1"/>
      <c r="AV60" s="1"/>
    </row>
    <row r="61" spans="15:49" ht="15" x14ac:dyDescent="0.25">
      <c r="O61" s="354" t="s">
        <v>279</v>
      </c>
      <c r="P61" s="366">
        <v>70.89</v>
      </c>
      <c r="AU61" s="1"/>
      <c r="AV61" s="1"/>
    </row>
    <row r="62" spans="15:49" ht="15" x14ac:dyDescent="0.25">
      <c r="O62" s="354" t="s">
        <v>273</v>
      </c>
      <c r="P62" s="366">
        <v>35</v>
      </c>
      <c r="AU62" s="1"/>
      <c r="AV62" s="1"/>
      <c r="AW62" s="1" t="s">
        <v>293</v>
      </c>
    </row>
    <row r="63" spans="15:49" ht="15" x14ac:dyDescent="0.25">
      <c r="O63" s="354" t="s">
        <v>283</v>
      </c>
      <c r="P63" s="384">
        <v>35</v>
      </c>
      <c r="AU63" s="1"/>
      <c r="AV63" s="1"/>
      <c r="AW63" s="1" t="s">
        <v>293</v>
      </c>
    </row>
    <row r="64" spans="15:49" ht="15" x14ac:dyDescent="0.25">
      <c r="O64" s="354" t="s">
        <v>284</v>
      </c>
      <c r="P64" s="366">
        <v>35</v>
      </c>
      <c r="AU64" s="1"/>
      <c r="AV64" s="1"/>
      <c r="AW64" s="1" t="s">
        <v>293</v>
      </c>
    </row>
    <row r="65" spans="15:49" ht="15" x14ac:dyDescent="0.25">
      <c r="O65" s="354" t="s">
        <v>285</v>
      </c>
      <c r="P65" s="366">
        <v>45</v>
      </c>
      <c r="AU65" s="1"/>
      <c r="AV65" s="1"/>
      <c r="AW65" s="1" t="s">
        <v>293</v>
      </c>
    </row>
    <row r="66" spans="15:49" ht="15" x14ac:dyDescent="0.25">
      <c r="O66" s="354" t="s">
        <v>286</v>
      </c>
      <c r="P66" s="366">
        <v>45</v>
      </c>
      <c r="AU66" s="1"/>
      <c r="AV66" s="1"/>
      <c r="AW66" s="1" t="s">
        <v>293</v>
      </c>
    </row>
    <row r="67" spans="15:49" ht="15" x14ac:dyDescent="0.25">
      <c r="O67" s="354" t="s">
        <v>287</v>
      </c>
      <c r="P67" s="366">
        <v>55</v>
      </c>
      <c r="AU67" s="1"/>
      <c r="AV67" s="1"/>
      <c r="AW67" s="1" t="s">
        <v>293</v>
      </c>
    </row>
    <row r="68" spans="15:49" ht="15" x14ac:dyDescent="0.25">
      <c r="O68" s="354" t="s">
        <v>274</v>
      </c>
      <c r="P68" s="366">
        <v>30</v>
      </c>
      <c r="AU68" s="1"/>
      <c r="AV68" s="1"/>
      <c r="AW68" s="1" t="s">
        <v>293</v>
      </c>
    </row>
    <row r="69" spans="15:49" ht="15" x14ac:dyDescent="0.25">
      <c r="O69" s="354" t="s">
        <v>275</v>
      </c>
      <c r="P69" s="366">
        <v>30</v>
      </c>
      <c r="AU69" s="1"/>
      <c r="AV69" s="1"/>
      <c r="AW69" s="1" t="s">
        <v>293</v>
      </c>
    </row>
    <row r="70" spans="15:49" ht="15" x14ac:dyDescent="0.25">
      <c r="O70" s="354" t="s">
        <v>276</v>
      </c>
      <c r="P70" s="366">
        <v>30</v>
      </c>
      <c r="AU70" s="1"/>
      <c r="AV70" s="1"/>
      <c r="AW70" s="1" t="s">
        <v>293</v>
      </c>
    </row>
    <row r="71" spans="15:49" x14ac:dyDescent="0.2">
      <c r="AU71" s="1"/>
      <c r="AV71" s="1"/>
    </row>
    <row r="72" spans="15:49" x14ac:dyDescent="0.2">
      <c r="O72" s="349" t="s">
        <v>300</v>
      </c>
      <c r="P72" s="349"/>
      <c r="AU72" s="1"/>
      <c r="AV72" s="1"/>
    </row>
    <row r="73" spans="15:49" x14ac:dyDescent="0.2">
      <c r="O73" s="1" t="s">
        <v>301</v>
      </c>
      <c r="P73" s="1">
        <v>34.11</v>
      </c>
      <c r="AU73" s="1"/>
      <c r="AV73" s="1"/>
    </row>
    <row r="74" spans="15:49" x14ac:dyDescent="0.2">
      <c r="O74" s="1" t="s">
        <v>302</v>
      </c>
      <c r="P74" s="1">
        <v>29.43</v>
      </c>
      <c r="AU74" s="1"/>
      <c r="AV74" s="1"/>
    </row>
    <row r="75" spans="15:49" x14ac:dyDescent="0.2">
      <c r="O75" s="1" t="s">
        <v>303</v>
      </c>
      <c r="P75" s="1">
        <v>20.03</v>
      </c>
      <c r="AU75" s="1"/>
      <c r="AV75" s="1"/>
    </row>
    <row r="76" spans="15:49" x14ac:dyDescent="0.2">
      <c r="O76" s="1" t="s">
        <v>304</v>
      </c>
      <c r="P76" s="1">
        <v>15.08</v>
      </c>
      <c r="AU76" s="1"/>
      <c r="AV76" s="1"/>
    </row>
    <row r="77" spans="15:49" x14ac:dyDescent="0.2">
      <c r="O77" s="1" t="s">
        <v>305</v>
      </c>
      <c r="P77" s="1">
        <v>105.25</v>
      </c>
      <c r="AU77" s="1"/>
      <c r="AV77" s="1"/>
    </row>
    <row r="78" spans="15:49" x14ac:dyDescent="0.2">
      <c r="O78" s="1" t="s">
        <v>306</v>
      </c>
      <c r="P78" s="1">
        <v>764.37</v>
      </c>
      <c r="AU78" s="1"/>
      <c r="AV78" s="1"/>
    </row>
    <row r="79" spans="15:49" x14ac:dyDescent="0.2">
      <c r="O79" s="1" t="s">
        <v>307</v>
      </c>
      <c r="P79" s="1">
        <v>764.37</v>
      </c>
      <c r="AU79" s="1"/>
      <c r="AV79" s="1"/>
    </row>
    <row r="80" spans="15:49" x14ac:dyDescent="0.2">
      <c r="O80" s="1" t="s">
        <v>308</v>
      </c>
      <c r="P80" s="1">
        <v>781.15</v>
      </c>
      <c r="AU80" s="1"/>
      <c r="AV80" s="1"/>
    </row>
    <row r="81" spans="15:48" x14ac:dyDescent="0.2">
      <c r="O81" s="1" t="s">
        <v>309</v>
      </c>
      <c r="P81" s="1">
        <v>781.15</v>
      </c>
      <c r="AU81" s="1"/>
      <c r="AV81" s="1"/>
    </row>
    <row r="82" spans="15:48" x14ac:dyDescent="0.2">
      <c r="O82" s="1" t="s">
        <v>310</v>
      </c>
      <c r="P82" s="1">
        <v>781.15</v>
      </c>
      <c r="AU82" s="1"/>
      <c r="AV82" s="1"/>
    </row>
    <row r="83" spans="15:48" x14ac:dyDescent="0.2">
      <c r="O83" s="1" t="s">
        <v>311</v>
      </c>
      <c r="P83" s="1">
        <v>790.59</v>
      </c>
      <c r="AU83" s="1"/>
      <c r="AV83" s="1"/>
    </row>
    <row r="84" spans="15:48" x14ac:dyDescent="0.2">
      <c r="O84" s="1" t="s">
        <v>312</v>
      </c>
      <c r="P84" s="1">
        <v>660.07</v>
      </c>
      <c r="AU84" s="1"/>
      <c r="AV84" s="1"/>
    </row>
    <row r="85" spans="15:48" x14ac:dyDescent="0.2">
      <c r="O85" s="1" t="s">
        <v>313</v>
      </c>
      <c r="P85" s="1">
        <f>+P84</f>
        <v>660.07</v>
      </c>
      <c r="AU85" s="1"/>
      <c r="AV85" s="1"/>
    </row>
    <row r="86" spans="15:48" x14ac:dyDescent="0.2">
      <c r="O86" s="1" t="s">
        <v>314</v>
      </c>
      <c r="P86" s="1">
        <v>535.99</v>
      </c>
      <c r="AU86" s="1"/>
      <c r="AV86" s="1"/>
    </row>
    <row r="87" spans="15:48" x14ac:dyDescent="0.2">
      <c r="O87" s="1" t="s">
        <v>315</v>
      </c>
      <c r="P87" s="1">
        <f>+P86</f>
        <v>535.99</v>
      </c>
      <c r="AU87" s="1"/>
      <c r="AV87" s="1"/>
    </row>
    <row r="88" spans="15:48" x14ac:dyDescent="0.2">
      <c r="O88" s="1" t="s">
        <v>316</v>
      </c>
      <c r="P88" s="1">
        <v>577.42999999999995</v>
      </c>
      <c r="AU88" s="1"/>
      <c r="AV88" s="1"/>
    </row>
    <row r="89" spans="15:48" x14ac:dyDescent="0.2">
      <c r="O89" s="1" t="s">
        <v>317</v>
      </c>
      <c r="P89" s="1">
        <v>535.36</v>
      </c>
      <c r="AU89" s="1"/>
      <c r="AV89" s="1"/>
    </row>
    <row r="90" spans="15:48" x14ac:dyDescent="0.2">
      <c r="O90" s="1" t="s">
        <v>318</v>
      </c>
      <c r="P90" s="1">
        <v>536.98</v>
      </c>
      <c r="AU90" s="1"/>
      <c r="AV90" s="1"/>
    </row>
    <row r="91" spans="15:48" x14ac:dyDescent="0.2">
      <c r="O91" s="1" t="s">
        <v>319</v>
      </c>
      <c r="P91" s="1">
        <v>570.01</v>
      </c>
      <c r="AU91" s="1"/>
      <c r="AV91" s="1"/>
    </row>
    <row r="92" spans="15:48" x14ac:dyDescent="0.2">
      <c r="O92" s="1" t="s">
        <v>320</v>
      </c>
      <c r="P92" s="1">
        <v>633.76</v>
      </c>
      <c r="AU92" s="1"/>
      <c r="AV92" s="1"/>
    </row>
    <row r="93" spans="15:48" x14ac:dyDescent="0.2">
      <c r="O93" s="1" t="s">
        <v>321</v>
      </c>
      <c r="P93" s="1">
        <v>29.43</v>
      </c>
      <c r="AU93" s="1"/>
      <c r="AV93" s="1"/>
    </row>
    <row r="94" spans="15:48" x14ac:dyDescent="0.2">
      <c r="O94" s="1" t="s">
        <v>322</v>
      </c>
      <c r="P94" s="1">
        <v>29.43</v>
      </c>
      <c r="AU94" s="1"/>
      <c r="AV94" s="1"/>
    </row>
    <row r="95" spans="15:48" x14ac:dyDescent="0.2">
      <c r="O95" s="1" t="s">
        <v>323</v>
      </c>
      <c r="P95" s="1">
        <v>28.35</v>
      </c>
      <c r="AU95" s="1"/>
      <c r="AV95" s="1"/>
    </row>
    <row r="96" spans="15:48" x14ac:dyDescent="0.2">
      <c r="O96" s="1" t="s">
        <v>324</v>
      </c>
      <c r="P96" s="1">
        <v>28.35</v>
      </c>
      <c r="AU96" s="1"/>
      <c r="AV96" s="1"/>
    </row>
    <row r="97" spans="15:50" x14ac:dyDescent="0.2">
      <c r="O97" s="1" t="s">
        <v>325</v>
      </c>
      <c r="P97" s="1">
        <v>28.35</v>
      </c>
      <c r="AU97" s="1"/>
      <c r="AV97" s="1"/>
    </row>
    <row r="98" spans="15:50" x14ac:dyDescent="0.2">
      <c r="O98" s="1" t="s">
        <v>326</v>
      </c>
      <c r="P98" s="1">
        <v>25.41</v>
      </c>
      <c r="AU98" s="1"/>
      <c r="AV98" s="1"/>
    </row>
    <row r="99" spans="15:50" x14ac:dyDescent="0.2">
      <c r="O99" s="1" t="s">
        <v>327</v>
      </c>
      <c r="P99" s="1">
        <v>19.829999999999998</v>
      </c>
      <c r="AU99" s="1"/>
      <c r="AV99" s="1"/>
    </row>
    <row r="100" spans="15:50" x14ac:dyDescent="0.2">
      <c r="O100" s="1" t="s">
        <v>328</v>
      </c>
      <c r="P100" s="1">
        <v>15.08</v>
      </c>
      <c r="AU100" s="1"/>
      <c r="AV100" s="1"/>
    </row>
    <row r="101" spans="15:50" x14ac:dyDescent="0.2">
      <c r="O101" s="350" t="s">
        <v>329</v>
      </c>
      <c r="P101" s="350" t="s">
        <v>294</v>
      </c>
      <c r="AU101" s="1"/>
      <c r="AV101" s="1"/>
      <c r="AW101" s="350" t="s">
        <v>392</v>
      </c>
      <c r="AX101" s="350" t="s">
        <v>393</v>
      </c>
    </row>
    <row r="102" spans="15:50" x14ac:dyDescent="0.2">
      <c r="O102" s="350" t="s">
        <v>55</v>
      </c>
      <c r="P102" s="350">
        <v>105.57</v>
      </c>
      <c r="AU102" s="1"/>
      <c r="AV102" s="1"/>
      <c r="AW102" s="350">
        <v>351.48</v>
      </c>
      <c r="AX102" s="350">
        <v>24.77</v>
      </c>
    </row>
    <row r="103" spans="15:50" x14ac:dyDescent="0.2">
      <c r="O103" s="350" t="s">
        <v>56</v>
      </c>
      <c r="P103" s="350">
        <v>69.180000000000007</v>
      </c>
      <c r="AU103" s="1"/>
      <c r="AV103" s="1"/>
      <c r="AW103" s="350">
        <v>230.33</v>
      </c>
      <c r="AX103" s="350">
        <v>16.260000000000002</v>
      </c>
    </row>
    <row r="104" spans="15:50" x14ac:dyDescent="0.2">
      <c r="O104" s="350" t="s">
        <v>57</v>
      </c>
      <c r="P104" s="350">
        <v>54.66</v>
      </c>
      <c r="AU104" s="1"/>
      <c r="AV104" s="1"/>
      <c r="AW104" s="350">
        <v>181.87</v>
      </c>
      <c r="AX104" s="350">
        <v>12.88</v>
      </c>
    </row>
    <row r="105" spans="15:50" x14ac:dyDescent="0.2">
      <c r="O105" s="351" t="s">
        <v>330</v>
      </c>
      <c r="P105" s="351" t="s">
        <v>295</v>
      </c>
      <c r="AU105" s="1"/>
      <c r="AV105" s="1"/>
      <c r="AW105" s="351" t="s">
        <v>394</v>
      </c>
    </row>
    <row r="106" spans="15:50" x14ac:dyDescent="0.2">
      <c r="O106" s="351" t="s">
        <v>331</v>
      </c>
      <c r="P106" s="351">
        <v>942.53</v>
      </c>
      <c r="AU106" s="1"/>
      <c r="AV106" s="1"/>
      <c r="AW106" s="351">
        <v>1692.75</v>
      </c>
    </row>
    <row r="107" spans="15:50" x14ac:dyDescent="0.2">
      <c r="O107" s="351" t="s">
        <v>332</v>
      </c>
      <c r="P107" s="351">
        <v>942.53</v>
      </c>
      <c r="AU107" s="1"/>
      <c r="AV107" s="1"/>
      <c r="AW107" s="351">
        <f>+AW106</f>
        <v>1692.75</v>
      </c>
    </row>
    <row r="108" spans="15:50" x14ac:dyDescent="0.2">
      <c r="O108" s="351" t="s">
        <v>333</v>
      </c>
      <c r="P108" s="351">
        <v>790.59</v>
      </c>
      <c r="AU108" s="1"/>
      <c r="AV108" s="1"/>
      <c r="AW108" s="351">
        <v>1546.05</v>
      </c>
    </row>
    <row r="109" spans="15:50" x14ac:dyDescent="0.2">
      <c r="O109" s="351" t="s">
        <v>334</v>
      </c>
      <c r="P109" s="351">
        <v>790.59</v>
      </c>
      <c r="AU109" s="1"/>
      <c r="AV109" s="1"/>
      <c r="AW109" s="351">
        <f>+AW108</f>
        <v>1546.05</v>
      </c>
    </row>
    <row r="110" spans="15:50" x14ac:dyDescent="0.2">
      <c r="O110" s="1" t="s">
        <v>335</v>
      </c>
      <c r="P110" s="1">
        <v>32.659999999999997</v>
      </c>
      <c r="AU110" s="1"/>
      <c r="AV110" s="1"/>
    </row>
    <row r="111" spans="15:50" x14ac:dyDescent="0.2">
      <c r="O111" s="1" t="s">
        <v>336</v>
      </c>
      <c r="P111" s="1">
        <v>28.27</v>
      </c>
      <c r="AU111" s="1"/>
      <c r="AV111" s="1"/>
    </row>
    <row r="112" spans="15:50" x14ac:dyDescent="0.2">
      <c r="O112" s="1" t="s">
        <v>337</v>
      </c>
      <c r="P112" s="1">
        <v>541.66999999999996</v>
      </c>
      <c r="AU112" s="1"/>
      <c r="AV112" s="1"/>
    </row>
    <row r="113" spans="15:49" x14ac:dyDescent="0.2">
      <c r="O113" s="1" t="s">
        <v>338</v>
      </c>
      <c r="P113" s="1">
        <v>292.29000000000002</v>
      </c>
      <c r="AU113" s="1"/>
      <c r="AV113" s="1"/>
    </row>
    <row r="114" spans="15:49" x14ac:dyDescent="0.2">
      <c r="O114" s="1" t="s">
        <v>339</v>
      </c>
      <c r="P114" s="1">
        <f>+P113</f>
        <v>292.29000000000002</v>
      </c>
      <c r="AU114" s="1"/>
      <c r="AV114" s="1"/>
    </row>
    <row r="115" spans="15:49" x14ac:dyDescent="0.2">
      <c r="O115" s="1" t="s">
        <v>340</v>
      </c>
      <c r="P115" s="1">
        <f>+P114</f>
        <v>292.29000000000002</v>
      </c>
      <c r="AU115" s="1"/>
      <c r="AV115" s="1"/>
    </row>
    <row r="116" spans="15:49" x14ac:dyDescent="0.2">
      <c r="O116" s="1" t="s">
        <v>341</v>
      </c>
      <c r="P116" s="1">
        <v>210.71</v>
      </c>
      <c r="AU116" s="1"/>
      <c r="AV116" s="1"/>
    </row>
    <row r="117" spans="15:49" x14ac:dyDescent="0.2">
      <c r="O117" s="1" t="s">
        <v>342</v>
      </c>
      <c r="P117" s="1">
        <v>141.69</v>
      </c>
      <c r="AU117" s="1"/>
      <c r="AV117" s="1"/>
    </row>
    <row r="118" spans="15:49" x14ac:dyDescent="0.2">
      <c r="O118" s="1" t="s">
        <v>343</v>
      </c>
      <c r="P118" s="1">
        <v>70.89</v>
      </c>
      <c r="AU118" s="1"/>
      <c r="AV118" s="1"/>
    </row>
    <row r="119" spans="15:49" x14ac:dyDescent="0.2">
      <c r="O119" s="1" t="s">
        <v>344</v>
      </c>
      <c r="P119" s="1">
        <v>122.79</v>
      </c>
      <c r="AU119" s="1"/>
      <c r="AV119" s="1"/>
    </row>
    <row r="120" spans="15:49" x14ac:dyDescent="0.2">
      <c r="AU120" s="1"/>
      <c r="AV120" s="1"/>
    </row>
    <row r="121" spans="15:49" x14ac:dyDescent="0.2">
      <c r="O121" s="352" t="s">
        <v>345</v>
      </c>
      <c r="P121" s="352" t="s">
        <v>296</v>
      </c>
      <c r="AU121" s="1"/>
      <c r="AV121" s="1"/>
      <c r="AW121" s="352" t="s">
        <v>395</v>
      </c>
    </row>
    <row r="122" spans="15:49" x14ac:dyDescent="0.2">
      <c r="O122" s="352" t="s">
        <v>346</v>
      </c>
      <c r="P122" s="352">
        <v>3057.27</v>
      </c>
      <c r="AU122" s="1"/>
      <c r="AV122" s="1"/>
      <c r="AW122" s="352">
        <v>3396.51</v>
      </c>
    </row>
    <row r="123" spans="15:49" x14ac:dyDescent="0.2">
      <c r="O123" s="352" t="s">
        <v>347</v>
      </c>
      <c r="P123" s="352">
        <v>2880.26</v>
      </c>
      <c r="AU123" s="1"/>
      <c r="AV123" s="1"/>
      <c r="AW123" s="352">
        <v>3185.57</v>
      </c>
    </row>
    <row r="124" spans="15:49" x14ac:dyDescent="0.2">
      <c r="O124" s="352" t="s">
        <v>348</v>
      </c>
      <c r="P124" s="352">
        <v>2783.34</v>
      </c>
      <c r="AU124" s="1"/>
      <c r="AV124" s="1"/>
      <c r="AW124" s="352">
        <v>3088.65</v>
      </c>
    </row>
    <row r="125" spans="15:49" x14ac:dyDescent="0.2">
      <c r="O125" s="352" t="s">
        <v>349</v>
      </c>
      <c r="P125" s="352">
        <v>2875.7</v>
      </c>
      <c r="AU125" s="1"/>
      <c r="AV125" s="1"/>
      <c r="AW125" s="352">
        <v>3181.01</v>
      </c>
    </row>
    <row r="126" spans="15:49" x14ac:dyDescent="0.2">
      <c r="AU126" s="1"/>
      <c r="AV126" s="1"/>
    </row>
    <row r="127" spans="15:49" x14ac:dyDescent="0.2">
      <c r="O127" s="353" t="s">
        <v>350</v>
      </c>
      <c r="P127" s="353">
        <v>1000</v>
      </c>
      <c r="AU127" s="1"/>
      <c r="AV127" s="1"/>
    </row>
    <row r="128" spans="15:49" x14ac:dyDescent="0.2">
      <c r="O128" s="353" t="s">
        <v>351</v>
      </c>
      <c r="P128" s="353">
        <v>579.02</v>
      </c>
      <c r="AU128" s="1"/>
      <c r="AV128" s="1"/>
    </row>
    <row r="129" spans="15:50" x14ac:dyDescent="0.2">
      <c r="O129" s="353" t="s">
        <v>352</v>
      </c>
      <c r="P129" s="353">
        <v>4139.3999999999996</v>
      </c>
      <c r="AU129" s="1"/>
      <c r="AV129" s="1"/>
    </row>
    <row r="130" spans="15:50" x14ac:dyDescent="0.2">
      <c r="O130" s="353" t="s">
        <v>353</v>
      </c>
      <c r="P130" s="353">
        <v>137.97999999999999</v>
      </c>
      <c r="AU130" s="1"/>
      <c r="AV130" s="1"/>
    </row>
    <row r="131" spans="15:50" x14ac:dyDescent="0.2">
      <c r="O131" s="353" t="s">
        <v>354</v>
      </c>
      <c r="P131" s="353">
        <v>1125.9000000000001</v>
      </c>
      <c r="AU131" s="1"/>
      <c r="AV131" s="1"/>
    </row>
    <row r="132" spans="15:50" x14ac:dyDescent="0.2">
      <c r="AU132" s="1"/>
      <c r="AV132" s="1"/>
    </row>
    <row r="133" spans="15:50" x14ac:dyDescent="0.2">
      <c r="O133" s="1" t="s">
        <v>355</v>
      </c>
      <c r="P133" s="1" t="s">
        <v>16</v>
      </c>
      <c r="AU133" s="1"/>
      <c r="AV133" s="1"/>
      <c r="AW133" s="1" t="s">
        <v>396</v>
      </c>
      <c r="AX133" s="1" t="s">
        <v>397</v>
      </c>
    </row>
    <row r="134" spans="15:50" x14ac:dyDescent="0.2">
      <c r="O134" s="1" t="s">
        <v>356</v>
      </c>
      <c r="P134" s="1">
        <v>1780.25</v>
      </c>
      <c r="AU134" s="1"/>
      <c r="AV134" s="1"/>
      <c r="AW134" s="1">
        <v>92.77</v>
      </c>
      <c r="AX134" s="1">
        <v>168.99</v>
      </c>
    </row>
    <row r="135" spans="15:50" x14ac:dyDescent="0.2">
      <c r="O135" s="1" t="s">
        <v>357</v>
      </c>
      <c r="P135" s="1">
        <v>1405.94</v>
      </c>
      <c r="AU135" s="1"/>
      <c r="AV135" s="1"/>
      <c r="AW135" s="1">
        <v>81.150000000000006</v>
      </c>
      <c r="AX135" s="1">
        <v>112.8</v>
      </c>
    </row>
    <row r="136" spans="15:50" x14ac:dyDescent="0.2">
      <c r="AU136" s="1"/>
      <c r="AV136" s="1"/>
    </row>
    <row r="137" spans="15:50" x14ac:dyDescent="0.2">
      <c r="O137" s="1" t="s">
        <v>355</v>
      </c>
      <c r="P137" s="1" t="s">
        <v>297</v>
      </c>
      <c r="AU137" s="1"/>
      <c r="AV137" s="1"/>
      <c r="AW137" s="1" t="s">
        <v>398</v>
      </c>
      <c r="AX137" s="1" t="s">
        <v>399</v>
      </c>
    </row>
    <row r="138" spans="15:50" x14ac:dyDescent="0.2">
      <c r="O138" s="1" t="s">
        <v>356</v>
      </c>
      <c r="P138" s="1">
        <v>3.65</v>
      </c>
      <c r="AU138" s="1"/>
      <c r="AV138" s="1"/>
      <c r="AW138" s="1">
        <v>1126.33</v>
      </c>
      <c r="AX138" s="1">
        <v>14.98</v>
      </c>
    </row>
    <row r="139" spans="15:50" x14ac:dyDescent="0.2">
      <c r="O139" s="1" t="s">
        <v>357</v>
      </c>
      <c r="P139" s="1">
        <v>4.6500000000000004</v>
      </c>
      <c r="AU139" s="1"/>
      <c r="AV139" s="1"/>
      <c r="AW139" s="1">
        <v>896.81</v>
      </c>
      <c r="AX139" s="1">
        <v>19.649999999999999</v>
      </c>
    </row>
    <row r="140" spans="15:50" x14ac:dyDescent="0.2">
      <c r="AU140" s="1"/>
      <c r="AV140" s="1"/>
    </row>
    <row r="141" spans="15:50" x14ac:dyDescent="0.2">
      <c r="P141" s="1" t="s">
        <v>298</v>
      </c>
      <c r="AU141" s="1"/>
      <c r="AV141" s="1"/>
      <c r="AW141" s="1" t="s">
        <v>400</v>
      </c>
    </row>
    <row r="142" spans="15:50" x14ac:dyDescent="0.2">
      <c r="O142" s="1" t="s">
        <v>355</v>
      </c>
      <c r="P142" s="1">
        <v>31.96</v>
      </c>
      <c r="AU142" s="1"/>
      <c r="AV142" s="1"/>
      <c r="AW142" s="1">
        <v>56.75</v>
      </c>
    </row>
    <row r="143" spans="15:50" x14ac:dyDescent="0.2">
      <c r="AU143" s="1"/>
      <c r="AV143" s="1"/>
    </row>
    <row r="144" spans="15:50" x14ac:dyDescent="0.2">
      <c r="AU144" s="1"/>
      <c r="AV144" s="1"/>
    </row>
    <row r="145" spans="15:48" x14ac:dyDescent="0.2">
      <c r="O145" s="1" t="s">
        <v>358</v>
      </c>
      <c r="P145" s="1">
        <v>46.88</v>
      </c>
      <c r="AU145" s="1"/>
      <c r="AV145" s="1"/>
    </row>
    <row r="146" spans="15:48" x14ac:dyDescent="0.2">
      <c r="O146" s="1" t="s">
        <v>359</v>
      </c>
      <c r="P146" s="1" t="s">
        <v>299</v>
      </c>
      <c r="AU146" s="1"/>
      <c r="AV146" s="1"/>
    </row>
    <row r="147" spans="15:48" x14ac:dyDescent="0.2">
      <c r="AU147" s="1"/>
      <c r="AV147" s="1"/>
    </row>
    <row r="148" spans="15:48" x14ac:dyDescent="0.2">
      <c r="AU148" s="1"/>
      <c r="AV148" s="1"/>
    </row>
    <row r="149" spans="15:48" x14ac:dyDescent="0.2">
      <c r="AU149" s="1"/>
      <c r="AV149" s="1"/>
    </row>
    <row r="150" spans="15:48" x14ac:dyDescent="0.2">
      <c r="AU150" s="1"/>
      <c r="AV150" s="1"/>
    </row>
    <row r="151" spans="15:48" x14ac:dyDescent="0.2">
      <c r="AU151" s="1"/>
      <c r="AV151" s="1"/>
    </row>
    <row r="152" spans="15:48" x14ac:dyDescent="0.2">
      <c r="O152" s="385" t="s">
        <v>401</v>
      </c>
      <c r="P152" s="386">
        <v>541.66999999999996</v>
      </c>
      <c r="AU152" s="1"/>
      <c r="AV152" s="1"/>
    </row>
    <row r="153" spans="15:48" x14ac:dyDescent="0.2">
      <c r="O153" s="385" t="s">
        <v>402</v>
      </c>
      <c r="P153" s="386">
        <v>292.29000000000002</v>
      </c>
      <c r="AU153" s="1"/>
      <c r="AV153" s="1"/>
    </row>
    <row r="154" spans="15:48" x14ac:dyDescent="0.2">
      <c r="O154" s="385" t="s">
        <v>403</v>
      </c>
      <c r="P154" s="386">
        <v>292.29000000000002</v>
      </c>
      <c r="AU154" s="1"/>
      <c r="AV154" s="1"/>
    </row>
    <row r="155" spans="15:48" x14ac:dyDescent="0.2">
      <c r="O155" s="385" t="s">
        <v>404</v>
      </c>
      <c r="P155" s="386">
        <v>292.29000000000002</v>
      </c>
      <c r="AU155" s="1"/>
      <c r="AV155" s="1"/>
    </row>
    <row r="156" spans="15:48" x14ac:dyDescent="0.2">
      <c r="O156" s="385" t="s">
        <v>405</v>
      </c>
      <c r="P156" s="386">
        <v>210.71</v>
      </c>
      <c r="AU156" s="1"/>
      <c r="AV156" s="1"/>
    </row>
    <row r="157" spans="15:48" x14ac:dyDescent="0.2">
      <c r="O157" s="385" t="s">
        <v>406</v>
      </c>
      <c r="P157" s="386">
        <v>141.69</v>
      </c>
      <c r="AU157" s="1"/>
      <c r="AV157" s="1"/>
    </row>
    <row r="158" spans="15:48" x14ac:dyDescent="0.2">
      <c r="O158" s="385" t="s">
        <v>407</v>
      </c>
      <c r="P158" s="366">
        <v>33.97</v>
      </c>
      <c r="AU158" s="1"/>
      <c r="AV158" s="1"/>
    </row>
    <row r="159" spans="15:48" x14ac:dyDescent="0.2">
      <c r="O159" s="385" t="s">
        <v>408</v>
      </c>
      <c r="P159" s="366">
        <v>29.4</v>
      </c>
      <c r="AU159" s="1"/>
      <c r="AV159" s="1"/>
    </row>
    <row r="160" spans="15:48" x14ac:dyDescent="0.2">
      <c r="O160" s="385" t="s">
        <v>409</v>
      </c>
      <c r="P160" s="366">
        <v>189.16</v>
      </c>
      <c r="AU160" s="1"/>
      <c r="AV160" s="1"/>
    </row>
    <row r="161" spans="15:48" x14ac:dyDescent="0.2">
      <c r="O161" s="385" t="s">
        <v>410</v>
      </c>
      <c r="P161" s="366">
        <v>120.09</v>
      </c>
      <c r="AU161" s="1"/>
      <c r="AV161" s="1"/>
    </row>
    <row r="162" spans="15:48" x14ac:dyDescent="0.2">
      <c r="O162" s="385" t="s">
        <v>411</v>
      </c>
      <c r="P162" s="366">
        <v>764.15</v>
      </c>
      <c r="AU162" s="1"/>
      <c r="AV162" s="1"/>
    </row>
    <row r="163" spans="15:48" x14ac:dyDescent="0.2">
      <c r="O163" s="385" t="s">
        <v>412</v>
      </c>
      <c r="P163" s="366">
        <v>600.44000000000005</v>
      </c>
      <c r="AU163" s="1"/>
      <c r="AV163" s="1"/>
    </row>
    <row r="164" spans="15:48" x14ac:dyDescent="0.2">
      <c r="O164" s="385" t="s">
        <v>413</v>
      </c>
      <c r="P164" s="366">
        <v>22</v>
      </c>
      <c r="AU164" s="1"/>
      <c r="AV164" s="1"/>
    </row>
    <row r="165" spans="15:48" x14ac:dyDescent="0.2">
      <c r="O165" s="385" t="s">
        <v>414</v>
      </c>
      <c r="P165" s="366">
        <v>189.16</v>
      </c>
      <c r="AU165" s="1"/>
      <c r="AV165" s="1"/>
    </row>
    <row r="166" spans="15:48" x14ac:dyDescent="0.2">
      <c r="O166" s="385" t="s">
        <v>415</v>
      </c>
      <c r="P166" s="366">
        <v>241.4</v>
      </c>
      <c r="AU166" s="1"/>
      <c r="AV166" s="1"/>
    </row>
    <row r="167" spans="15:48" x14ac:dyDescent="0.2">
      <c r="O167" s="385" t="s">
        <v>416</v>
      </c>
      <c r="P167" s="366">
        <v>900</v>
      </c>
      <c r="AU167" s="1"/>
      <c r="AV167" s="1"/>
    </row>
    <row r="168" spans="15:48" x14ac:dyDescent="0.2">
      <c r="O168" s="385" t="s">
        <v>417</v>
      </c>
      <c r="P168" s="366">
        <v>600.44000000000005</v>
      </c>
      <c r="AU168" s="1"/>
      <c r="AV168" s="1"/>
    </row>
    <row r="169" spans="15:48" x14ac:dyDescent="0.2">
      <c r="O169" s="385" t="s">
        <v>418</v>
      </c>
      <c r="P169" s="366">
        <v>22</v>
      </c>
      <c r="AU169" s="1"/>
      <c r="AV169" s="1"/>
    </row>
    <row r="170" spans="15:48" x14ac:dyDescent="0.2">
      <c r="AU170" s="1"/>
      <c r="AV170" s="1"/>
    </row>
    <row r="171" spans="15:48" x14ac:dyDescent="0.2">
      <c r="AU171" s="1"/>
      <c r="AV171" s="1"/>
    </row>
  </sheetData>
  <sheetProtection algorithmName="SHA-512" hashValue="CFKW0PRDZgy8BrgN4bIrREAjggQHolLbKtVsujjslB7KTmsAAYFQbqasTWFkv1Futkfv6jzBt8/HiOWFCS7rKQ==" saltValue="Q6RTSaqVmQmcI2FE6kC1SQ==" spinCount="100000" sheet="1" selectLockedCells="1" selectUnlockedCells="1"/>
  <mergeCells count="1">
    <mergeCell ref="B1:M1"/>
  </mergeCells>
  <pageMargins left="0.7" right="0.7" top="0.75" bottom="0.75" header="0.3" footer="0.3"/>
  <pageSetup paperSize="9"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25"/>
  <sheetViews>
    <sheetView workbookViewId="0">
      <selection activeCell="N16" sqref="N16"/>
    </sheetView>
    <sheetView workbookViewId="1"/>
  </sheetViews>
  <sheetFormatPr baseColWidth="10" defaultRowHeight="12.75" x14ac:dyDescent="0.2"/>
  <cols>
    <col min="1" max="1" width="9.140625" customWidth="1"/>
  </cols>
  <sheetData>
    <row r="1" spans="1:2" ht="15" customHeight="1" x14ac:dyDescent="0.2">
      <c r="B1" s="24" t="s">
        <v>72</v>
      </c>
    </row>
    <row r="2" spans="1:2" ht="15" customHeight="1" x14ac:dyDescent="0.2">
      <c r="A2" s="23">
        <v>1</v>
      </c>
      <c r="B2" s="20" t="s">
        <v>66</v>
      </c>
    </row>
    <row r="3" spans="1:2" ht="15" customHeight="1" x14ac:dyDescent="0.2">
      <c r="A3" s="23">
        <v>2</v>
      </c>
      <c r="B3" s="20" t="s">
        <v>67</v>
      </c>
    </row>
    <row r="4" spans="1:2" ht="15" customHeight="1" x14ac:dyDescent="0.2">
      <c r="A4" s="23">
        <v>3</v>
      </c>
      <c r="B4" s="20" t="s">
        <v>68</v>
      </c>
    </row>
    <row r="5" spans="1:2" ht="15" customHeight="1" x14ac:dyDescent="0.2">
      <c r="A5" s="23">
        <v>4</v>
      </c>
      <c r="B5" s="20" t="s">
        <v>69</v>
      </c>
    </row>
    <row r="6" spans="1:2" ht="15" customHeight="1" x14ac:dyDescent="0.2">
      <c r="A6" s="23">
        <v>5</v>
      </c>
      <c r="B6" s="20" t="s">
        <v>70</v>
      </c>
    </row>
    <row r="7" spans="1:2" ht="15" customHeight="1" x14ac:dyDescent="0.2">
      <c r="A7" s="23">
        <v>6</v>
      </c>
      <c r="B7" s="32" t="s">
        <v>71</v>
      </c>
    </row>
    <row r="8" spans="1:2" ht="15" customHeight="1" x14ac:dyDescent="0.2">
      <c r="A8" s="23">
        <v>7</v>
      </c>
      <c r="B8" s="20" t="s">
        <v>367</v>
      </c>
    </row>
    <row r="9" spans="1:2" ht="15" customHeight="1" x14ac:dyDescent="0.2">
      <c r="A9" s="23">
        <v>8</v>
      </c>
      <c r="B9" s="20" t="s">
        <v>368</v>
      </c>
    </row>
    <row r="10" spans="1:2" ht="15" customHeight="1" x14ac:dyDescent="0.2">
      <c r="A10" s="23">
        <v>9</v>
      </c>
      <c r="B10" s="32"/>
    </row>
    <row r="11" spans="1:2" ht="15" customHeight="1" x14ac:dyDescent="0.2">
      <c r="A11" s="23">
        <v>10</v>
      </c>
      <c r="B11" s="32"/>
    </row>
    <row r="12" spans="1:2" ht="15" customHeight="1" x14ac:dyDescent="0.2">
      <c r="A12" s="23">
        <v>11</v>
      </c>
      <c r="B12" s="32"/>
    </row>
    <row r="13" spans="1:2" ht="15" customHeight="1" x14ac:dyDescent="0.2">
      <c r="A13" s="23"/>
      <c r="B13" s="20"/>
    </row>
    <row r="14" spans="1:2" ht="15" customHeight="1" x14ac:dyDescent="0.2">
      <c r="A14" s="23"/>
      <c r="B14" s="24" t="s">
        <v>83</v>
      </c>
    </row>
    <row r="15" spans="1:2" x14ac:dyDescent="0.2">
      <c r="A15" s="23">
        <v>1</v>
      </c>
      <c r="B15" s="20" t="s">
        <v>84</v>
      </c>
    </row>
    <row r="18" spans="2:11" x14ac:dyDescent="0.2">
      <c r="B18" t="s">
        <v>73</v>
      </c>
    </row>
    <row r="19" spans="2:11" x14ac:dyDescent="0.2">
      <c r="B19" s="20" t="s">
        <v>76</v>
      </c>
    </row>
    <row r="20" spans="2:11" x14ac:dyDescent="0.2">
      <c r="B20" s="20" t="s">
        <v>74</v>
      </c>
    </row>
    <row r="21" spans="2:11" x14ac:dyDescent="0.2">
      <c r="B21" s="20" t="s">
        <v>75</v>
      </c>
    </row>
    <row r="22" spans="2:11" x14ac:dyDescent="0.2">
      <c r="B22" s="22" t="s">
        <v>79</v>
      </c>
    </row>
    <row r="23" spans="2:11" x14ac:dyDescent="0.2">
      <c r="B23" s="21"/>
    </row>
    <row r="24" spans="2:11" ht="24.75" customHeight="1" x14ac:dyDescent="0.2">
      <c r="B24" s="497" t="s">
        <v>77</v>
      </c>
      <c r="C24" s="497"/>
      <c r="D24" s="497"/>
      <c r="E24" s="497"/>
      <c r="F24" s="497"/>
      <c r="G24" s="497"/>
      <c r="H24" s="497"/>
      <c r="I24" s="497"/>
      <c r="J24" s="497"/>
      <c r="K24" s="497"/>
    </row>
    <row r="25" spans="2:11" ht="39.75" customHeight="1" x14ac:dyDescent="0.2">
      <c r="B25" s="496" t="s">
        <v>78</v>
      </c>
      <c r="C25" s="496"/>
      <c r="D25" s="496"/>
      <c r="E25" s="496"/>
      <c r="F25" s="496"/>
      <c r="G25" s="496"/>
      <c r="H25" s="496"/>
      <c r="I25" s="496"/>
      <c r="J25" s="496"/>
      <c r="K25" s="496"/>
    </row>
  </sheetData>
  <sheetProtection algorithmName="SHA-512" hashValue="lbLzaENjU5LUfVmoVGKpS5tnUcCVJqLcktiEC+fB6xCG9WfMziFfOax6OzdeCo//JKNCDQE5bJZ/mU+13TqGnQ==" saltValue="fdOvWI4iCGwue5FAYeRyLg==" spinCount="100000" sheet="1" objects="1" scenarios="1"/>
  <mergeCells count="2">
    <mergeCell ref="B25:K25"/>
    <mergeCell ref="B24:K24"/>
  </mergeCells>
  <hyperlinks>
    <hyperlink ref="B2" r:id="rId1" xr:uid="{00000000-0004-0000-0700-000000000000}"/>
    <hyperlink ref="B3" r:id="rId2" xr:uid="{00000000-0004-0000-0700-000001000000}"/>
    <hyperlink ref="B4" r:id="rId3" xr:uid="{00000000-0004-0000-0700-000002000000}"/>
    <hyperlink ref="B5" r:id="rId4" xr:uid="{00000000-0004-0000-0700-000003000000}"/>
    <hyperlink ref="B6" r:id="rId5" xr:uid="{00000000-0004-0000-0700-000004000000}"/>
    <hyperlink ref="B7" r:id="rId6" xr:uid="{00000000-0004-0000-0700-000006000000}"/>
    <hyperlink ref="B20" r:id="rId7" xr:uid="{00000000-0004-0000-0700-000007000000}"/>
    <hyperlink ref="B21" r:id="rId8" xr:uid="{00000000-0004-0000-0700-000008000000}"/>
    <hyperlink ref="B22" r:id="rId9" xr:uid="{00000000-0004-0000-0700-000009000000}"/>
    <hyperlink ref="B19" r:id="rId10" xr:uid="{00000000-0004-0000-0700-00000A000000}"/>
    <hyperlink ref="B15" r:id="rId11" xr:uid="{00000000-0004-0000-0700-00000B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17"/>
  <sheetViews>
    <sheetView workbookViewId="0">
      <selection activeCell="B80" sqref="B80"/>
    </sheetView>
    <sheetView workbookViewId="1"/>
  </sheetViews>
  <sheetFormatPr baseColWidth="10" defaultRowHeight="12.95" customHeight="1" x14ac:dyDescent="0.2"/>
  <cols>
    <col min="1" max="1" width="3.42578125" style="3" customWidth="1"/>
    <col min="2" max="2" width="92.7109375" style="3" customWidth="1"/>
    <col min="3" max="3" width="8.28515625" style="3" customWidth="1"/>
    <col min="4" max="5" width="5.5703125" style="3" bestFit="1" customWidth="1"/>
    <col min="6" max="6" width="10.28515625" style="3" customWidth="1"/>
    <col min="7" max="7" width="9.140625" style="3" bestFit="1" customWidth="1"/>
    <col min="8" max="8" width="14.140625" style="3" bestFit="1" customWidth="1"/>
    <col min="9" max="9" width="15.5703125" style="3" hidden="1" customWidth="1"/>
    <col min="10" max="10" width="9.140625" style="3" hidden="1" customWidth="1"/>
    <col min="11" max="11" width="7.140625" style="3" hidden="1" customWidth="1"/>
    <col min="12" max="12" width="6.28515625" style="3" hidden="1" customWidth="1"/>
    <col min="13" max="13" width="8.85546875" style="3" hidden="1" customWidth="1"/>
    <col min="14" max="14" width="9.140625" style="3" hidden="1" customWidth="1"/>
    <col min="15" max="15" width="7.140625" style="3" hidden="1" customWidth="1"/>
    <col min="16" max="16" width="7.85546875" style="3" hidden="1" customWidth="1"/>
    <col min="17" max="27" width="11.42578125" style="3" hidden="1" customWidth="1"/>
    <col min="28" max="40" width="11.42578125" style="3" customWidth="1"/>
    <col min="41" max="16384" width="11.42578125" style="3"/>
  </cols>
  <sheetData>
    <row r="1" spans="1:16" ht="15.75" x14ac:dyDescent="0.2">
      <c r="A1" s="2"/>
      <c r="B1" s="502" t="s">
        <v>435</v>
      </c>
      <c r="C1" s="503"/>
      <c r="D1" s="503"/>
      <c r="E1" s="503"/>
      <c r="F1" s="503"/>
    </row>
    <row r="2" spans="1:16" ht="17.25" customHeight="1" x14ac:dyDescent="0.25">
      <c r="A2" s="2"/>
      <c r="B2" s="478" t="s">
        <v>28</v>
      </c>
      <c r="C2" s="478"/>
      <c r="D2" s="478"/>
      <c r="E2" s="478"/>
      <c r="F2" s="478"/>
    </row>
    <row r="3" spans="1:16" ht="18" x14ac:dyDescent="0.25">
      <c r="A3" s="2"/>
      <c r="B3" s="504" t="s">
        <v>429</v>
      </c>
      <c r="C3" s="480"/>
      <c r="D3" s="480"/>
      <c r="E3" s="480"/>
      <c r="F3" s="480"/>
    </row>
    <row r="4" spans="1:16" ht="33.75" x14ac:dyDescent="0.2">
      <c r="C4" s="186" t="s">
        <v>6</v>
      </c>
      <c r="D4" s="187" t="s">
        <v>7</v>
      </c>
      <c r="E4" s="187" t="s">
        <v>8</v>
      </c>
      <c r="F4" s="188" t="s">
        <v>191</v>
      </c>
      <c r="G4" s="189" t="s">
        <v>192</v>
      </c>
    </row>
    <row r="5" spans="1:16" ht="12.95" customHeight="1" x14ac:dyDescent="0.2">
      <c r="B5" s="191" t="s">
        <v>27</v>
      </c>
      <c r="C5" s="282"/>
      <c r="D5" s="282"/>
      <c r="E5" s="282"/>
      <c r="F5" s="190">
        <f>+'Haber Regulador'!E5</f>
        <v>49914.06</v>
      </c>
      <c r="G5" s="190">
        <f>+F5/14</f>
        <v>3565.29</v>
      </c>
      <c r="N5" s="160">
        <f>+'Tiempos de cotización'!G5+'Tiempos de cotización'!G19+'Tiempos de cotización'!G14+'Tiempos de cotización'!G27+'Tiempos de cotización'!G33</f>
        <v>0</v>
      </c>
    </row>
    <row r="6" spans="1:16" ht="12.95" customHeight="1" x14ac:dyDescent="0.2">
      <c r="B6" s="34" t="s">
        <v>26</v>
      </c>
      <c r="C6" s="282">
        <v>31</v>
      </c>
      <c r="D6" s="282">
        <v>6</v>
      </c>
      <c r="E6" s="282">
        <v>3</v>
      </c>
      <c r="F6" s="190">
        <f>+'Haber Regulador'!H5</f>
        <v>39283.61</v>
      </c>
      <c r="G6" s="190">
        <f t="shared" ref="G6:G10" si="0">+F6/14</f>
        <v>2805.9721428571429</v>
      </c>
      <c r="N6" s="160">
        <f>+'Tiempos de cotización'!G6+'Tiempos de cotización'!G20+'Tiempos de cotización'!G15+'Tiempos de cotización'!G28+'Tiempos de cotización'!G34</f>
        <v>10958</v>
      </c>
    </row>
    <row r="7" spans="1:16" ht="12.95" customHeight="1" x14ac:dyDescent="0.2">
      <c r="B7" s="33" t="s">
        <v>25</v>
      </c>
      <c r="C7" s="282"/>
      <c r="D7" s="282"/>
      <c r="E7" s="282"/>
      <c r="F7" s="190">
        <f>+'Haber Regulador'!K5</f>
        <v>34399.18</v>
      </c>
      <c r="G7" s="190">
        <f t="shared" si="0"/>
        <v>2457.0842857142857</v>
      </c>
      <c r="N7" s="160">
        <f>+'Tiempos de cotización'!G7</f>
        <v>0</v>
      </c>
    </row>
    <row r="8" spans="1:16" ht="12.95" customHeight="1" x14ac:dyDescent="0.2">
      <c r="B8" s="33" t="s">
        <v>24</v>
      </c>
      <c r="C8" s="282">
        <v>3</v>
      </c>
      <c r="D8" s="282">
        <v>10</v>
      </c>
      <c r="E8" s="282">
        <v>5</v>
      </c>
      <c r="F8" s="190">
        <f>+'Haber Regulador'!N5</f>
        <v>30170.49</v>
      </c>
      <c r="G8" s="190">
        <f t="shared" si="0"/>
        <v>2155.0350000000003</v>
      </c>
      <c r="N8" s="160">
        <f>+'Tiempos de cotización'!G8+'Tiempos de cotización'!G21</f>
        <v>0</v>
      </c>
    </row>
    <row r="9" spans="1:16" ht="12.95" customHeight="1" x14ac:dyDescent="0.2">
      <c r="B9" s="33" t="s">
        <v>23</v>
      </c>
      <c r="C9" s="282"/>
      <c r="D9" s="282"/>
      <c r="E9" s="282"/>
      <c r="F9" s="190">
        <f>+'Haber Regulador'!Q5</f>
        <v>23869.85</v>
      </c>
      <c r="G9" s="190">
        <f t="shared" si="0"/>
        <v>1704.9892857142856</v>
      </c>
      <c r="N9" s="160">
        <f>+'Tiempos de cotización'!G9+'Tiempos de cotización'!G22</f>
        <v>0</v>
      </c>
    </row>
    <row r="10" spans="1:16" ht="12.95" customHeight="1" thickBot="1" x14ac:dyDescent="0.25">
      <c r="B10" s="33" t="s">
        <v>22</v>
      </c>
      <c r="C10" s="282"/>
      <c r="D10" s="282">
        <v>5</v>
      </c>
      <c r="E10" s="282">
        <v>24</v>
      </c>
      <c r="F10" s="278">
        <f>+'Haber Regulador'!T5</f>
        <v>20350.96</v>
      </c>
      <c r="G10" s="278">
        <f t="shared" si="0"/>
        <v>1453.6399999999999</v>
      </c>
      <c r="N10" s="160">
        <f>+'Tiempos de cotización'!G10+'Tiempos de cotización'!G23+'Tiempos de cotización'!G37</f>
        <v>0</v>
      </c>
    </row>
    <row r="11" spans="1:16" ht="13.5" thickBot="1" x14ac:dyDescent="0.25">
      <c r="A11" s="2"/>
      <c r="B11" s="246" t="s">
        <v>200</v>
      </c>
      <c r="C11" s="247">
        <f>INT((((+C10+C9+C8+C7+C6+C5)*365.25)+((+D10+D9+D8+D7+D6+D5)*30.4375)+(+E10+E9+E8+E7+E6+E5))/365.25)</f>
        <v>35</v>
      </c>
      <c r="D11" s="247">
        <f>INT((((((+C10+C9+C8+C7+C6+C5)*365.25)+((+D10+D9+D8+D7+D6+D5)*30.4375)+(+E10+E9+E8+E7+E6+E5))/365.25)-INT((((+C10+C9+C8+C7+C6+C5)*365.25)+((+D10+D9+D8+D7+D6+D5)*30.4375)+(+E10+E9+E8+E7+E6+E5))/365.25))*12)</f>
        <v>10</v>
      </c>
      <c r="E11" s="277">
        <f>ROUND(((((((((+C10+C9+C8+C7+C6+C5)*365.25)+((+D10+D9+D8+D7+D6+D5)*30.4375)+(+E10+E9+E8+E7+E6+E5))/365.25)-INT((((+C10+C9+C8+C7+C6+C5)*365.25)+((+D10+D9+D8+D7+D6+D5)*30.4375)+(+E10+E9+E8+E7+E6+E5))/365.25))*12)-INT((((((+C10+C9+C8+C7+C6+C5)*365.25)+((+D10+D9+D8+D7+D6+D5)*30.4375)+(+E10+E9+E8+E7+E6+E5))/365.25)-INT((((+C10+C9+C8+C7+C6+C5)*365.25)+((+D10+D9+D8+D7+D6+D5)*30.4375)+(+E10+E9+E8+E7+E6+E5))/365.25))*12))*30),0)</f>
        <v>2</v>
      </c>
      <c r="F11" s="279">
        <f>+'Haber Regulador'!I43</f>
        <v>44450.559999999998</v>
      </c>
      <c r="G11" s="280">
        <f>+F11/14</f>
        <v>3175.04</v>
      </c>
      <c r="H11" s="281" t="s">
        <v>201</v>
      </c>
      <c r="N11" s="160">
        <f>SUM(N5:N10)</f>
        <v>10958</v>
      </c>
    </row>
    <row r="12" spans="1:16" ht="11.25" x14ac:dyDescent="0.2"/>
    <row r="13" spans="1:16" ht="12.75" hidden="1" x14ac:dyDescent="0.2">
      <c r="A13" s="2"/>
      <c r="B13" s="192"/>
      <c r="C13" s="193"/>
      <c r="D13" s="193"/>
      <c r="E13" s="193"/>
      <c r="N13" s="194"/>
    </row>
    <row r="14" spans="1:16" ht="12.75" hidden="1" x14ac:dyDescent="0.2">
      <c r="A14" s="2"/>
      <c r="B14" s="195" t="s">
        <v>193</v>
      </c>
      <c r="C14" s="196">
        <f>IF((C10*365.25)+(D10*30.4375)+(E10)&gt;0,+((((+C6*365.25)+(D6*30.4375)+E6)/365.25)+(((+C5*365.25)+(D5*30.4375)+E5)/365.25)+(((+C7*365.25)+(D7*30.4375)+E7)/365.25)+(((+C8*365.25)+(D8*30.4375)+E8)/365.25)+(((+C9*365.25)+(D9*30.4375)+E9)/365.25)+(((+C10*365.25)+(D10*30.4375)+E10)/365.25)),0)</f>
        <v>35.837611225188226</v>
      </c>
      <c r="D14" s="197"/>
      <c r="E14" s="198"/>
      <c r="N14" s="194"/>
    </row>
    <row r="15" spans="1:16" ht="12.75" hidden="1" x14ac:dyDescent="0.2">
      <c r="A15" s="2"/>
      <c r="B15" s="195"/>
      <c r="C15" s="199">
        <f>(+C14-C16)*365.25</f>
        <v>305.9374999999996</v>
      </c>
      <c r="D15" s="200">
        <f>+C15/30.4275</f>
        <v>10.054638074110578</v>
      </c>
      <c r="E15" s="200">
        <f>+D15-D16</f>
        <v>5.4638074110577861E-2</v>
      </c>
      <c r="N15" s="194"/>
    </row>
    <row r="16" spans="1:16" ht="12.75" hidden="1" x14ac:dyDescent="0.2">
      <c r="A16" s="2"/>
      <c r="B16" s="201" t="s">
        <v>194</v>
      </c>
      <c r="C16" s="202">
        <f>INT(+C14)</f>
        <v>35</v>
      </c>
      <c r="D16" s="202">
        <f>INT(+C15/30.4375)</f>
        <v>10</v>
      </c>
      <c r="E16" s="202">
        <f>INT(+E15*30.4375)</f>
        <v>1</v>
      </c>
      <c r="F16" s="3" t="s">
        <v>217</v>
      </c>
      <c r="N16" s="203">
        <f>+F10</f>
        <v>20350.96</v>
      </c>
      <c r="O16" s="204">
        <f>IF($C16=1,1.24%,IF($C16=2,2.55%,IF($C16=3,3.88%,IF($C16=4,5.31%,IF($C16=5,6.83%,IF($C16=6,8.43%,IF($C16=7,10.11%,IF($C16=8,11.88%,IF($C16=9,13.73%,IF($C16=10,15.67%,IF($C16=11,17.71%,IF($C16=12,19.86%,IF($C16=13,22.1%,IF($C16=14,24.45%,IF($C16=15,26.92%,IF($C16=16,30.57%,IF($C16=17,34.23%,IF($C16=18,37.88%,IF($C16=19,41.54%,IF($C16=20,45.19%,IF($C16=21,48.84%,IF($C16=22,52.5%,IF($C16=23,56.15%,IF($C16=24,59.81%,IF($C16=25,63.46%,IF($C16=26,67.11%,IF($C16=27,70.77%,IF($C16=28,74.42%,IF($C16=29,78.08%,IF($C16=30,81.73%,IF($C16=31,85.38%,IF($C16=32,89.04%,IF($C16=33,92.69%,IF($C16=34,96.35%,IF($C16&gt;34,100%,0)))))))))))))))))))))))))))))))))))</f>
        <v>1</v>
      </c>
      <c r="P16" s="205">
        <f>+N16*O16</f>
        <v>20350.96</v>
      </c>
    </row>
    <row r="17" spans="1:16" ht="11.25" hidden="1" x14ac:dyDescent="0.2">
      <c r="A17" s="2"/>
      <c r="B17" s="206" t="s">
        <v>193</v>
      </c>
      <c r="C17" s="207">
        <f>IF((C9*365.25)+(D9*30.4375)+(E9)&gt;0,+((((+C6*365.25)+(D6*30.4375)+E6)/365.25)+(((+C5*365.25)+(D5*30.4375)+E5)/365.25)+(((+C7*365.25)+(D7*30.4375)+E7)/365.25)+(((+C8*365.25)+(D8*30.4375)+E8)/365.25)+(((+C9*365.25)+(D9*30.4375)+E9)/365.25)),0)</f>
        <v>0</v>
      </c>
      <c r="D17" s="208"/>
      <c r="E17" s="209"/>
      <c r="P17" s="205"/>
    </row>
    <row r="18" spans="1:16" ht="11.25" hidden="1" x14ac:dyDescent="0.2">
      <c r="A18" s="2"/>
      <c r="B18" s="206"/>
      <c r="C18" s="210">
        <f>(+C17-C19)*365.25</f>
        <v>0</v>
      </c>
      <c r="D18" s="211">
        <f>+C18/30.4275</f>
        <v>0</v>
      </c>
      <c r="E18" s="211">
        <f>+D18-D19</f>
        <v>0</v>
      </c>
      <c r="P18" s="205"/>
    </row>
    <row r="19" spans="1:16" ht="12.75" hidden="1" x14ac:dyDescent="0.2">
      <c r="A19" s="2"/>
      <c r="B19" s="212" t="s">
        <v>195</v>
      </c>
      <c r="C19" s="213">
        <f>INT(+C17)</f>
        <v>0</v>
      </c>
      <c r="D19" s="213">
        <f>INT(+C18/30.4375)</f>
        <v>0</v>
      </c>
      <c r="E19" s="213">
        <f>INT(+E18*30.4375)</f>
        <v>0</v>
      </c>
      <c r="N19" s="203">
        <f>IF(C14&gt;0,F9-F10,F9)</f>
        <v>3518.8899999999994</v>
      </c>
      <c r="O19" s="204">
        <f>IF($C19=1,1.24%,IF($C19=2,2.55%,IF($C19=3,3.88%,IF($C19=4,5.31%,IF($C19=5,6.83%,IF($C19=6,8.43%,IF($C19=7,10.11%,IF($C19=8,11.88%,IF($C19=9,13.73%,IF($C19=10,15.67%,IF($C19=11,17.71%,IF($C19=12,19.86%,IF($C19=13,22.1%,IF($C19=14,24.45%,IF($C19=15,26.92%,IF($C19=16,30.57%,IF($C19=17,34.23%,IF($C19=18,37.88%,IF($C19=19,41.54%,IF($C19=20,45.19%,IF($C19=21,48.84%,IF($C19=22,52.5%,IF($C19=23,56.15%,IF($C19=24,59.81%,IF($C19=25,63.46%,IF($C19=26,67.11%,IF($C19=27,70.77%,IF($C19=28,74.42%,IF($C19=29,78.08%,IF($C19=30,81.73%,IF($C19=31,85.38%,IF($C19=32,89.04%,IF($C19=33,92.69%,IF($C19=34,96.35%,IF($C19&gt;34,100%,0)))))))))))))))))))))))))))))))))))</f>
        <v>0</v>
      </c>
      <c r="P19" s="205">
        <f>+N19*O19</f>
        <v>0</v>
      </c>
    </row>
    <row r="20" spans="1:16" ht="11.25" hidden="1" x14ac:dyDescent="0.2">
      <c r="A20" s="2"/>
      <c r="B20" s="214" t="s">
        <v>193</v>
      </c>
      <c r="C20" s="215">
        <f>IF((C8*365.25)+(D8*30.4375)+(E8)&gt;0,+((((+C6*365.25)+(D6*30.4375)+E6)/365.25)+(((+C5*365.25)+(D5*30.4375)+E5)/365.25)+(((+C7*365.25)+(D7*30.4375)+E7)/365.25)+(((+C8*365.25)+(D8*30.4375)+E8)/365.25)),0)</f>
        <v>35.355236139630392</v>
      </c>
      <c r="D20" s="216"/>
      <c r="E20" s="217"/>
      <c r="P20" s="205"/>
    </row>
    <row r="21" spans="1:16" ht="11.25" hidden="1" x14ac:dyDescent="0.2">
      <c r="A21" s="2"/>
      <c r="B21" s="214"/>
      <c r="C21" s="218">
        <f>(+C20-C22)*365.25</f>
        <v>129.75000000000077</v>
      </c>
      <c r="D21" s="219">
        <f>+C21/30.4275</f>
        <v>4.2642346561498901</v>
      </c>
      <c r="E21" s="219">
        <f>+D21-D22</f>
        <v>0.26423465614989006</v>
      </c>
      <c r="P21" s="205"/>
    </row>
    <row r="22" spans="1:16" ht="12.75" hidden="1" x14ac:dyDescent="0.2">
      <c r="A22" s="2"/>
      <c r="B22" s="220" t="s">
        <v>196</v>
      </c>
      <c r="C22" s="221">
        <f>INT(+C20)</f>
        <v>35</v>
      </c>
      <c r="D22" s="221">
        <f>INT(+C21/30.4375)</f>
        <v>4</v>
      </c>
      <c r="E22" s="221">
        <f>INT(+E21*30.4375)</f>
        <v>8</v>
      </c>
      <c r="N22" s="203">
        <f>IF(C17&gt;0,F8-F9,IF(C14&gt;0,F8-F10,F8))</f>
        <v>9819.5300000000025</v>
      </c>
      <c r="O22" s="204">
        <f>IF($C22=1,1.24%,IF($C22=2,2.55%,IF($C22=3,3.88%,IF($C22=4,5.31%,IF($C22=5,6.83%,IF($C22=6,8.43%,IF($C22=7,10.11%,IF($C22=8,11.88%,IF($C22=9,13.73%,IF($C22=10,15.67%,IF($C22=11,17.71%,IF($C22=12,19.86%,IF($C22=13,22.1%,IF($C22=14,24.45%,IF($C22=15,26.92%,IF($C22=16,30.57%,IF($C22=17,34.23%,IF($C22=18,37.88%,IF($C22=19,41.54%,IF($C22=20,45.19%,IF($C22=21,48.84%,IF($C22=22,52.5%,IF($C22=23,56.15%,IF($C22=24,59.81%,IF($C22=25,63.46%,IF($C22=26,67.11%,IF($C22=27,70.77%,IF($C22=28,74.42%,IF($C22=29,78.08%,IF($C22=30,81.73%,IF($C22=31,85.38%,IF($C22=32,89.04%,IF($C22=33,92.69%,IF($C22=34,96.35%,IF($C22&gt;34,100%,0)))))))))))))))))))))))))))))))))))</f>
        <v>1</v>
      </c>
      <c r="P22" s="205">
        <f>+N22*O22</f>
        <v>9819.5300000000025</v>
      </c>
    </row>
    <row r="23" spans="1:16" ht="12.75" hidden="1" x14ac:dyDescent="0.2">
      <c r="A23" s="2"/>
      <c r="B23" s="222" t="s">
        <v>193</v>
      </c>
      <c r="C23" s="223">
        <f>IF((C7*365.25)+(D7*30.4375)+(E7)&gt;0,+((((+C6*365.25)+(D6*30.4375)+E6)/365.25)+(((+C5*365.25)+(D5*30.4375)+E5)/365.25)+(((+C7*365.25)+(D7*30.4375)+E7)/365.25)),0)</f>
        <v>0</v>
      </c>
      <c r="D23" s="224"/>
      <c r="E23" s="225"/>
      <c r="N23" s="194"/>
      <c r="P23" s="205"/>
    </row>
    <row r="24" spans="1:16" ht="12.75" hidden="1" x14ac:dyDescent="0.2">
      <c r="A24" s="2"/>
      <c r="B24" s="222"/>
      <c r="C24" s="226">
        <f>(+C23-C25)*365.25</f>
        <v>0</v>
      </c>
      <c r="D24" s="227">
        <f>+C24/30.4275</f>
        <v>0</v>
      </c>
      <c r="E24" s="227">
        <f>+D24-D25</f>
        <v>0</v>
      </c>
      <c r="N24" s="194"/>
      <c r="P24" s="205"/>
    </row>
    <row r="25" spans="1:16" ht="12.75" hidden="1" x14ac:dyDescent="0.2">
      <c r="A25" s="2"/>
      <c r="B25" s="228" t="s">
        <v>197</v>
      </c>
      <c r="C25" s="229">
        <f>INT(+C23)</f>
        <v>0</v>
      </c>
      <c r="D25" s="229">
        <f>INT(+C24/30.4375)</f>
        <v>0</v>
      </c>
      <c r="E25" s="229">
        <f>INT(+E24*30.4375)</f>
        <v>0</v>
      </c>
      <c r="N25" s="203">
        <f>IF(C20&gt;0,F7-F8,IF(C17&gt;0,F7-F9,IF(C14&gt;0,F7-F10,F7)))</f>
        <v>4228.6899999999987</v>
      </c>
      <c r="O25" s="204">
        <f>IF($C25=1,1.24%,IF($C25=2,2.55%,IF($C25=3,3.88%,IF($C25=4,5.31%,IF($C25=5,6.83%,IF($C25=6,8.43%,IF($C25=7,10.11%,IF($C25=8,11.88%,IF($C25=9,13.73%,IF($C25=10,15.67%,IF($C25=11,17.71%,IF($C25=12,19.86%,IF($C25=13,22.1%,IF($C25=14,24.45%,IF($C25=15,26.92%,IF($C25=16,30.57%,IF($C25=17,34.23%,IF($C25=18,37.88%,IF($C25=19,41.54%,IF($C25=20,45.19%,IF($C25=21,48.84%,IF($C25=22,52.5%,IF($C25=23,56.15%,IF($C25=24,59.81%,IF($C25=25,63.46%,IF($C25=26,67.11%,IF($C25=27,70.77%,IF($C25=28,74.42%,IF($C25=29,78.08%,IF($C25=30,81.73%,IF($C25=31,85.38%,IF($C25=32,89.04%,IF($C25=33,92.69%,IF($C25=34,96.35%,IF($C25&gt;34,100%,0)))))))))))))))))))))))))))))))))))</f>
        <v>0</v>
      </c>
      <c r="P25" s="205">
        <f>+N25*O25</f>
        <v>0</v>
      </c>
    </row>
    <row r="26" spans="1:16" ht="11.25" hidden="1" x14ac:dyDescent="0.2">
      <c r="A26" s="2"/>
      <c r="B26" s="230" t="s">
        <v>193</v>
      </c>
      <c r="C26" s="231">
        <f>IF((C6*365.25)+(D6*30.4375)+(E6)&gt;0,+((((+C6*365.25)+(D6*30.4375)+E6)/365.25)+(((+C5*365.25)+(D5*30.4375)+E5)/365.25)),0)</f>
        <v>31.508213552361397</v>
      </c>
      <c r="D26" s="232"/>
      <c r="E26" s="233"/>
      <c r="P26" s="205"/>
    </row>
    <row r="27" spans="1:16" ht="11.25" hidden="1" x14ac:dyDescent="0.2">
      <c r="A27" s="2"/>
      <c r="B27" s="230"/>
      <c r="C27" s="234">
        <f>(+C26-C28)*365.25</f>
        <v>185.62500000000028</v>
      </c>
      <c r="D27" s="235">
        <f>+C27/30.4275</f>
        <v>6.1005669213704801</v>
      </c>
      <c r="E27" s="235">
        <f>+D27-D28</f>
        <v>0.10056692137048007</v>
      </c>
      <c r="P27" s="205"/>
    </row>
    <row r="28" spans="1:16" ht="12.75" hidden="1" x14ac:dyDescent="0.2">
      <c r="A28" s="2"/>
      <c r="B28" s="236" t="s">
        <v>198</v>
      </c>
      <c r="C28" s="237">
        <f>INT(+C26)</f>
        <v>31</v>
      </c>
      <c r="D28" s="237">
        <f>INT(+C27/30.4375)</f>
        <v>6</v>
      </c>
      <c r="E28" s="237">
        <f>INT(+E27*30.4375)</f>
        <v>3</v>
      </c>
      <c r="N28" s="203">
        <f>IF(C23&gt;0,F6-F7,IF(C20&gt;0,F6-F8,IF(C17&gt;0,F6-F9,IF(C14&gt;0,F6-F10,F6))))</f>
        <v>9113.119999999999</v>
      </c>
      <c r="O28" s="204">
        <f>IF($C28=1,1.24%,IF($C28=2,2.55%,IF($C28=3,3.88%,IF($C28=4,5.31%,IF($C28=5,6.83%,IF($C28=6,8.43%,IF($C28=7,10.11%,IF($C28=8,11.88%,IF($C28=9,13.73%,IF($C28=10,15.67%,IF($C28=11,17.71%,IF($C28=12,19.86%,IF($C28=13,22.1%,IF($C28=14,24.45%,IF($C28=15,26.92%,IF($C28=16,30.57%,IF($C28=17,34.23%,IF($C28=18,37.88%,IF($C28=19,41.54%,IF($C28=20,45.19%,IF($C28=21,48.84%,IF($C28=22,52.5%,IF($C28=23,56.15%,IF($C28=24,59.81%,IF($C28=25,63.46%,IF($C28=26,67.11%,IF($C28=27,70.77%,IF($C28=28,74.42%,IF($C28=29,78.08%,IF($C28=30,81.73%,IF($C28=31,85.38%,IF($C28=32,89.04%,IF($C28=33,92.69%,IF($C28=34,96.35%,IF($C28&gt;34,100%,0)))))))))))))))))))))))))))))))))))</f>
        <v>0.8538</v>
      </c>
      <c r="P28" s="205">
        <f>+N28*O28</f>
        <v>7780.7818559999996</v>
      </c>
    </row>
    <row r="29" spans="1:16" ht="12.75" hidden="1" x14ac:dyDescent="0.2">
      <c r="A29" s="2"/>
      <c r="B29" s="238"/>
      <c r="C29" s="239">
        <f>IF((C5*365.25)+(D5*30.4375)+(E5)&gt;0,+((((+C5*365.25)+(D5*30.4375)+E5)/365.25)),0)</f>
        <v>0</v>
      </c>
      <c r="D29" s="240"/>
      <c r="E29" s="241"/>
      <c r="N29" s="203"/>
      <c r="P29" s="205"/>
    </row>
    <row r="30" spans="1:16" ht="12.75" hidden="1" x14ac:dyDescent="0.2">
      <c r="A30" s="2"/>
      <c r="B30" s="238"/>
      <c r="C30" s="242">
        <f>(+C29-C31)*365.25</f>
        <v>0</v>
      </c>
      <c r="D30" s="243">
        <f>+C30/30.4275</f>
        <v>0</v>
      </c>
      <c r="E30" s="243">
        <f>+D30-D31</f>
        <v>0</v>
      </c>
      <c r="N30" s="203"/>
      <c r="P30" s="205"/>
    </row>
    <row r="31" spans="1:16" ht="12.75" hidden="1" x14ac:dyDescent="0.2">
      <c r="A31" s="2"/>
      <c r="B31" s="238" t="s">
        <v>199</v>
      </c>
      <c r="C31" s="244">
        <f>INT(+C29)</f>
        <v>0</v>
      </c>
      <c r="D31" s="244">
        <f>INT(+C30/30.4375)</f>
        <v>0</v>
      </c>
      <c r="E31" s="244">
        <f>INT(+E30*30.4375)</f>
        <v>0</v>
      </c>
      <c r="N31" s="203">
        <f>IF(C26&gt;0,F5-F6,IF(C23&gt;0,F5-F7,IF(C20&gt;0,F5-F8,IF(C17&gt;0,F5-F9,IF(C14&gt;0,F5-F10,F5)))))</f>
        <v>10630.449999999997</v>
      </c>
      <c r="O31" s="204">
        <f>IF($C31=1,1.24%,IF($C31=2,2.55%,IF($C31=3,3.88%,IF($C31=4,5.31%,IF($C31=5,6.83%,IF($C31=6,8.43%,IF($C31=7,10.11%,IF($C31=8,11.88%,IF($C31=9,13.73%,IF($C31=10,15.67%,IF($C31=11,17.71%,IF($C31=12,19.86%,IF($C31=13,22.1%,IF($C31=14,24.45%,IF($C31=15,26.92%,IF($C31=16,30.57%,IF($C31=17,34.23%,IF($C31=18,37.88%,IF($C31=19,41.54%,IF($C31=20,45.19%,IF($C31=21,48.84%,IF($C31=22,52.5%,IF($C31=23,56.15%,IF($C31=24,59.81%,IF($C31=25,63.46%,IF($C31=26,67.11%,IF($C31=27,70.77%,IF($C31=28,74.42%,IF($C31=29,78.08%,IF($C31=30,81.73%,IF($C31=31,85.38%,IF($C31=32,89.04%,IF($C31=33,92.69%,IF($C31=34,96.35%,IF($C31&gt;34,100%,0)))))))))))))))))))))))))))))))))))</f>
        <v>0</v>
      </c>
      <c r="P31" s="205">
        <f>+N31*O31</f>
        <v>0</v>
      </c>
    </row>
    <row r="32" spans="1:16" ht="11.25" hidden="1" x14ac:dyDescent="0.2">
      <c r="A32" s="2"/>
      <c r="B32" s="238"/>
      <c r="C32" s="245"/>
      <c r="D32" s="245"/>
      <c r="E32" s="245"/>
      <c r="F32" s="2"/>
      <c r="L32" s="205"/>
    </row>
    <row r="33" spans="1:10" ht="11.25" hidden="1" x14ac:dyDescent="0.2"/>
    <row r="34" spans="1:10" ht="11.25" hidden="1" x14ac:dyDescent="0.2"/>
    <row r="35" spans="1:10" ht="11.25" hidden="1" x14ac:dyDescent="0.2"/>
    <row r="36" spans="1:10" ht="11.25" hidden="1" x14ac:dyDescent="0.2"/>
    <row r="37" spans="1:10" ht="15.75" x14ac:dyDescent="0.2">
      <c r="B37" s="401" t="s">
        <v>440</v>
      </c>
    </row>
    <row r="38" spans="1:10" ht="15.75" x14ac:dyDescent="0.2">
      <c r="A38" s="253"/>
      <c r="B38" s="283" t="s">
        <v>80</v>
      </c>
      <c r="C38" s="507" t="s">
        <v>218</v>
      </c>
      <c r="D38" s="508"/>
      <c r="E38" s="508"/>
      <c r="F38" s="508"/>
      <c r="G38" s="509"/>
      <c r="H38" s="253"/>
      <c r="I38" s="253"/>
      <c r="J38" s="253"/>
    </row>
    <row r="39" spans="1:10" ht="15.75" x14ac:dyDescent="0.2">
      <c r="A39" s="253"/>
      <c r="B39" s="283" t="s">
        <v>219</v>
      </c>
      <c r="C39" s="507" t="s">
        <v>218</v>
      </c>
      <c r="D39" s="508"/>
      <c r="E39" s="508"/>
      <c r="F39" s="508"/>
      <c r="G39" s="509"/>
      <c r="H39" s="253"/>
      <c r="I39" s="253"/>
      <c r="J39" s="253"/>
    </row>
    <row r="40" spans="1:10" ht="15.75" x14ac:dyDescent="0.2">
      <c r="A40" s="253"/>
      <c r="B40" s="283" t="s">
        <v>81</v>
      </c>
      <c r="C40" s="507" t="s">
        <v>218</v>
      </c>
      <c r="D40" s="508"/>
      <c r="E40" s="508"/>
      <c r="F40" s="508"/>
      <c r="G40" s="509"/>
      <c r="H40" s="253"/>
      <c r="I40" s="253"/>
      <c r="J40" s="253"/>
    </row>
    <row r="41" spans="1:10" ht="8.25" customHeight="1" x14ac:dyDescent="0.2">
      <c r="A41" s="253"/>
      <c r="B41" s="275"/>
      <c r="C41" s="253"/>
      <c r="D41" s="253"/>
      <c r="E41" s="253"/>
      <c r="F41" s="253"/>
      <c r="G41" s="253"/>
      <c r="H41" s="253"/>
      <c r="I41" s="253"/>
      <c r="J41" s="253"/>
    </row>
    <row r="42" spans="1:10" ht="24.75" customHeight="1" x14ac:dyDescent="0.2">
      <c r="A42" s="253"/>
      <c r="B42" s="274" t="s">
        <v>436</v>
      </c>
      <c r="C42" s="505" t="s">
        <v>202</v>
      </c>
      <c r="D42" s="506"/>
      <c r="E42" s="505" t="s">
        <v>203</v>
      </c>
      <c r="F42" s="506"/>
      <c r="G42" s="253"/>
      <c r="H42" s="253"/>
      <c r="I42" s="253"/>
      <c r="J42" s="253"/>
    </row>
    <row r="43" spans="1:10" ht="24.75" customHeight="1" x14ac:dyDescent="0.2">
      <c r="A43" s="253"/>
      <c r="B43" s="251" t="s">
        <v>204</v>
      </c>
      <c r="C43" s="498">
        <f>+E43/14</f>
        <v>2710.8051325714287</v>
      </c>
      <c r="D43" s="499"/>
      <c r="E43" s="498">
        <f>IF((P31+P28+P25+P22+P19+P16)&gt;F11,F11,(+P31+P28+P25+P22+P19+P16))</f>
        <v>37951.271855999999</v>
      </c>
      <c r="F43" s="499"/>
      <c r="G43" s="253"/>
      <c r="H43" s="253"/>
      <c r="I43" s="253"/>
      <c r="J43" s="253"/>
    </row>
    <row r="44" spans="1:10" ht="15.75" x14ac:dyDescent="0.2">
      <c r="B44" s="400" t="s">
        <v>420</v>
      </c>
      <c r="C44" s="500">
        <f>+C61</f>
        <v>63.110399999999998</v>
      </c>
      <c r="D44" s="501"/>
      <c r="E44" s="500">
        <f>+C62</f>
        <v>883.54559999999992</v>
      </c>
      <c r="F44" s="501"/>
      <c r="G44" s="267" t="str">
        <f>IF(C44&gt;G11-0.001,"  Pensión Máxima"," ")</f>
        <v xml:space="preserve"> </v>
      </c>
      <c r="H44" s="253"/>
      <c r="I44" s="253"/>
      <c r="J44" s="253"/>
    </row>
    <row r="45" spans="1:10" ht="15.75" x14ac:dyDescent="0.2">
      <c r="B45" s="251" t="s">
        <v>204</v>
      </c>
      <c r="C45" s="498">
        <f>+C43+C44</f>
        <v>2773.9155325714287</v>
      </c>
      <c r="D45" s="499"/>
      <c r="E45" s="498">
        <f>+E43+E44</f>
        <v>38834.817455999997</v>
      </c>
      <c r="F45" s="499"/>
      <c r="G45" s="252"/>
      <c r="H45" s="252"/>
      <c r="I45" s="253"/>
      <c r="J45" s="253"/>
    </row>
    <row r="46" spans="1:10" ht="15.75" x14ac:dyDescent="0.2">
      <c r="B46" s="252"/>
      <c r="C46" s="262"/>
      <c r="D46" s="266"/>
      <c r="E46" s="498">
        <f>IF(E45&gt;F11,F11+((E45-F11)/2),E45)</f>
        <v>38834.817455999997</v>
      </c>
      <c r="F46" s="499"/>
      <c r="G46" s="252"/>
      <c r="H46" s="252"/>
      <c r="I46" s="253"/>
      <c r="J46" s="253"/>
    </row>
    <row r="47" spans="1:10" ht="15.75" x14ac:dyDescent="0.2">
      <c r="B47" s="276" t="str">
        <f>IF(C61&gt;0%,"Importe Bruto. Mujeres Incremento de pensión en jubilación forzosa o incapacidad con 2 o más hijos","Importe Bruto")</f>
        <v>Importe Bruto. Mujeres Incremento de pensión en jubilación forzosa o incapacidad con 2 o más hijos</v>
      </c>
      <c r="C47" s="498">
        <f>+E47/14</f>
        <v>2773.9155325714282</v>
      </c>
      <c r="D47" s="499"/>
      <c r="E47" s="498">
        <f>+E46</f>
        <v>38834.817455999997</v>
      </c>
      <c r="F47" s="499"/>
      <c r="G47" s="265" t="str">
        <f>IF(E47&gt;F11,"  Mujer por jubilación forzosa o incapacidad puede pasar de la pensión máxima","")</f>
        <v/>
      </c>
      <c r="H47" s="252"/>
      <c r="I47" s="253"/>
      <c r="J47" s="253"/>
    </row>
    <row r="48" spans="1:10" ht="11.25" customHeight="1" x14ac:dyDescent="0.2"/>
    <row r="49" spans="2:13" ht="11.25" customHeight="1" x14ac:dyDescent="0.2"/>
    <row r="50" spans="2:13" ht="11.25" customHeight="1" x14ac:dyDescent="0.2"/>
    <row r="51" spans="2:13" ht="11.25" customHeight="1" x14ac:dyDescent="0.2"/>
    <row r="52" spans="2:13" ht="11.25" customHeight="1" x14ac:dyDescent="0.2"/>
    <row r="53" spans="2:13" ht="11.25" customHeight="1" thickBot="1" x14ac:dyDescent="0.25"/>
    <row r="54" spans="2:13" ht="11.25" x14ac:dyDescent="0.2">
      <c r="B54" s="402"/>
      <c r="C54" s="403" t="s">
        <v>8</v>
      </c>
      <c r="D54" s="403" t="s">
        <v>6</v>
      </c>
      <c r="E54" s="403" t="s">
        <v>7</v>
      </c>
      <c r="F54" s="404" t="s">
        <v>8</v>
      </c>
    </row>
    <row r="55" spans="2:13" ht="11.25" x14ac:dyDescent="0.2">
      <c r="B55" s="405" t="s">
        <v>205</v>
      </c>
      <c r="C55" s="406">
        <v>4968</v>
      </c>
      <c r="D55" s="407">
        <f>ROUNDDOWN(+C55/365.25,0)</f>
        <v>13</v>
      </c>
      <c r="E55" s="407">
        <f>ROUNDDOWN((+C55/365.25-D55)*12,0)</f>
        <v>7</v>
      </c>
      <c r="F55" s="408">
        <f>ROUNDDOWN((((+C55/365.25-D55)*12)-E55)*30.4375,0)</f>
        <v>6</v>
      </c>
      <c r="M55" s="205"/>
    </row>
    <row r="56" spans="2:13" ht="12" thickBot="1" x14ac:dyDescent="0.25">
      <c r="B56" s="409" t="s">
        <v>206</v>
      </c>
      <c r="C56" s="410">
        <f>ROUNDUP(+(D56*365.25)+(E56*30.4375)+F56,0)+1</f>
        <v>10475</v>
      </c>
      <c r="D56" s="257">
        <v>28</v>
      </c>
      <c r="E56" s="257">
        <v>8</v>
      </c>
      <c r="F56" s="258">
        <v>3</v>
      </c>
      <c r="M56" s="159"/>
    </row>
    <row r="57" spans="2:13" ht="11.25" x14ac:dyDescent="0.2"/>
    <row r="58" spans="2:13" ht="11.25" hidden="1" x14ac:dyDescent="0.2">
      <c r="C58" s="3" t="str">
        <f>+B40</f>
        <v>Jubilación Forzosa (65 años)</v>
      </c>
    </row>
    <row r="59" spans="2:13" ht="11.25" hidden="1" x14ac:dyDescent="0.2">
      <c r="C59" s="88" t="str">
        <f>+B38</f>
        <v>Mujer</v>
      </c>
    </row>
    <row r="60" spans="2:13" ht="11.25" hidden="1" x14ac:dyDescent="0.2">
      <c r="C60" s="88">
        <f>IF(B39=B71,C71,IF(B39=B72,C72,IF(B39=B73,C73,IF(B39=B74,C74,C71))))</f>
        <v>2</v>
      </c>
    </row>
    <row r="61" spans="2:13" ht="11.25" hidden="1" x14ac:dyDescent="0.2">
      <c r="C61" s="389">
        <f>IF(AND(C59="Mujer",OR(C58=B63,C58=B64,C58=B65)),C60*C76,0)</f>
        <v>63.110399999999998</v>
      </c>
      <c r="D61" s="263"/>
    </row>
    <row r="62" spans="2:13" ht="11.25" hidden="1" x14ac:dyDescent="0.2">
      <c r="B62" s="2" t="s">
        <v>82</v>
      </c>
      <c r="C62" s="390">
        <f>+C61*14</f>
        <v>883.54559999999992</v>
      </c>
    </row>
    <row r="63" spans="2:13" ht="11.25" hidden="1" x14ac:dyDescent="0.2">
      <c r="B63" s="2" t="s">
        <v>81</v>
      </c>
    </row>
    <row r="64" spans="2:13" ht="11.25" hidden="1" x14ac:dyDescent="0.2">
      <c r="B64" s="2" t="s">
        <v>13</v>
      </c>
    </row>
    <row r="65" spans="2:16" ht="11.25" hidden="1" x14ac:dyDescent="0.2">
      <c r="B65" s="2" t="s">
        <v>14</v>
      </c>
      <c r="C65" s="255"/>
      <c r="D65" s="255"/>
      <c r="E65" s="255"/>
      <c r="F65" s="255"/>
      <c r="G65" s="255"/>
      <c r="H65" s="255"/>
      <c r="I65" s="255"/>
      <c r="J65" s="255"/>
      <c r="K65" s="255"/>
      <c r="L65" s="255"/>
      <c r="M65" s="255"/>
      <c r="N65" s="255"/>
      <c r="O65" s="255"/>
      <c r="P65" s="255"/>
    </row>
    <row r="66" spans="2:16" ht="11.25" hidden="1" x14ac:dyDescent="0.2">
      <c r="B66" s="255"/>
      <c r="C66" s="255"/>
      <c r="D66" s="255"/>
      <c r="E66" s="255"/>
      <c r="F66" s="255"/>
      <c r="G66" s="255"/>
      <c r="H66" s="255"/>
      <c r="I66" s="255"/>
      <c r="J66" s="255"/>
      <c r="K66" s="255"/>
      <c r="L66" s="255"/>
      <c r="M66" s="255"/>
      <c r="N66" s="255"/>
      <c r="O66" s="255"/>
      <c r="P66" s="255"/>
    </row>
    <row r="67" spans="2:16" ht="11.25" hidden="1" x14ac:dyDescent="0.2">
      <c r="B67" s="255" t="s">
        <v>80</v>
      </c>
      <c r="C67" s="255"/>
      <c r="D67" s="255"/>
      <c r="E67" s="255"/>
      <c r="F67" s="255"/>
      <c r="G67" s="255"/>
      <c r="H67" s="255"/>
      <c r="I67" s="255"/>
      <c r="J67" s="255"/>
      <c r="K67" s="255"/>
      <c r="L67" s="255"/>
      <c r="M67" s="255"/>
      <c r="N67" s="255"/>
      <c r="O67" s="255"/>
      <c r="P67" s="255"/>
    </row>
    <row r="68" spans="2:16" ht="11.25" hidden="1" x14ac:dyDescent="0.2">
      <c r="B68" s="255" t="s">
        <v>118</v>
      </c>
      <c r="C68" s="255"/>
      <c r="D68" s="255"/>
      <c r="E68" s="255"/>
      <c r="F68" s="255"/>
      <c r="G68" s="255"/>
      <c r="H68" s="255"/>
      <c r="I68" s="255"/>
      <c r="J68" s="255"/>
      <c r="K68" s="255"/>
      <c r="L68" s="255"/>
      <c r="M68" s="255"/>
      <c r="N68" s="255"/>
      <c r="O68" s="255"/>
      <c r="P68" s="255"/>
    </row>
    <row r="69" spans="2:16" ht="11.25" hidden="1" x14ac:dyDescent="0.2">
      <c r="B69" s="255"/>
      <c r="C69" s="255"/>
      <c r="D69" s="255"/>
      <c r="E69" s="255"/>
      <c r="F69" s="255"/>
      <c r="G69" s="255"/>
      <c r="H69" s="255"/>
      <c r="I69" s="255"/>
      <c r="J69" s="255"/>
      <c r="K69" s="255"/>
      <c r="L69" s="255"/>
      <c r="M69" s="255"/>
      <c r="N69" s="255"/>
      <c r="O69" s="255"/>
      <c r="P69" s="255"/>
    </row>
    <row r="70" spans="2:16" ht="11.25" hidden="1" x14ac:dyDescent="0.2">
      <c r="B70" s="255"/>
      <c r="C70" s="255"/>
      <c r="D70" s="255"/>
      <c r="E70" s="255"/>
      <c r="F70" s="255"/>
      <c r="G70" s="255"/>
      <c r="H70" s="255"/>
      <c r="I70" s="255"/>
      <c r="J70" s="255"/>
      <c r="K70" s="255"/>
      <c r="L70" s="255"/>
      <c r="M70" s="255"/>
      <c r="N70" s="255"/>
      <c r="O70" s="255"/>
      <c r="P70" s="255"/>
    </row>
    <row r="71" spans="2:16" ht="11.25" hidden="1" x14ac:dyDescent="0.2">
      <c r="B71" s="255" t="s">
        <v>438</v>
      </c>
      <c r="C71" s="255">
        <v>1</v>
      </c>
      <c r="D71" s="255"/>
      <c r="E71" s="255"/>
      <c r="F71" s="255"/>
      <c r="G71" s="255"/>
      <c r="H71" s="255"/>
      <c r="I71" s="255"/>
      <c r="J71" s="255"/>
      <c r="K71" s="255"/>
      <c r="L71" s="255"/>
      <c r="M71" s="255"/>
      <c r="N71" s="255"/>
      <c r="O71" s="255"/>
      <c r="P71" s="255"/>
    </row>
    <row r="72" spans="2:16" ht="11.25" hidden="1" x14ac:dyDescent="0.2">
      <c r="B72" s="255" t="s">
        <v>219</v>
      </c>
      <c r="C72" s="255">
        <v>2</v>
      </c>
      <c r="D72" s="255"/>
      <c r="E72" s="255"/>
      <c r="F72" s="255"/>
      <c r="G72" s="255"/>
      <c r="H72" s="255"/>
      <c r="I72" s="255"/>
      <c r="J72" s="255"/>
      <c r="K72" s="255"/>
      <c r="L72" s="255"/>
      <c r="M72" s="255"/>
      <c r="N72" s="255"/>
      <c r="O72" s="255"/>
      <c r="P72" s="255"/>
    </row>
    <row r="73" spans="2:16" ht="11.25" hidden="1" x14ac:dyDescent="0.2">
      <c r="B73" s="255" t="s">
        <v>220</v>
      </c>
      <c r="C73" s="255">
        <v>3</v>
      </c>
      <c r="D73" s="255"/>
      <c r="E73" s="255"/>
      <c r="F73" s="255"/>
      <c r="G73" s="255"/>
      <c r="H73" s="255"/>
      <c r="I73" s="255"/>
      <c r="J73" s="255"/>
      <c r="K73" s="255"/>
      <c r="L73" s="255"/>
      <c r="M73" s="255"/>
      <c r="N73" s="255"/>
      <c r="O73" s="255"/>
      <c r="P73" s="255"/>
    </row>
    <row r="74" spans="2:16" ht="11.25" hidden="1" x14ac:dyDescent="0.2">
      <c r="B74" s="284" t="s">
        <v>439</v>
      </c>
      <c r="C74" s="255">
        <v>4</v>
      </c>
      <c r="D74" s="255"/>
      <c r="E74" s="255"/>
      <c r="F74" s="255"/>
      <c r="G74" s="255"/>
      <c r="H74" s="255"/>
      <c r="I74" s="255"/>
      <c r="J74" s="255"/>
      <c r="K74" s="255"/>
      <c r="L74" s="255"/>
      <c r="M74" s="255"/>
      <c r="N74" s="255"/>
      <c r="O74" s="255"/>
      <c r="P74" s="255"/>
    </row>
    <row r="75" spans="2:16" ht="11.25" hidden="1" x14ac:dyDescent="0.2">
      <c r="B75" s="255"/>
      <c r="C75" s="255"/>
      <c r="D75" s="255"/>
      <c r="E75" s="255"/>
      <c r="F75" s="255"/>
      <c r="G75" s="255"/>
      <c r="H75" s="255"/>
      <c r="I75" s="255"/>
      <c r="J75" s="255"/>
      <c r="K75" s="255"/>
      <c r="L75" s="255"/>
      <c r="M75" s="255"/>
      <c r="N75" s="255"/>
      <c r="O75" s="255"/>
      <c r="P75" s="255"/>
    </row>
    <row r="76" spans="2:16" ht="11.25" hidden="1" x14ac:dyDescent="0.2">
      <c r="B76" s="359" t="s">
        <v>369</v>
      </c>
      <c r="C76" s="391">
        <f>+'Haber Regulador'!I46</f>
        <v>31.555199999999999</v>
      </c>
      <c r="D76" s="255"/>
      <c r="E76" s="255"/>
      <c r="F76" s="255"/>
      <c r="G76" s="255"/>
      <c r="H76" s="255"/>
      <c r="I76" s="255"/>
      <c r="J76" s="255"/>
      <c r="K76" s="255"/>
      <c r="L76" s="255"/>
      <c r="M76" s="255"/>
      <c r="N76" s="255"/>
      <c r="O76" s="255"/>
      <c r="P76" s="255"/>
    </row>
    <row r="77" spans="2:16" ht="11.25" hidden="1" x14ac:dyDescent="0.2">
      <c r="B77" s="255"/>
      <c r="C77" s="255"/>
      <c r="D77" s="255"/>
      <c r="E77" s="255"/>
      <c r="F77" s="255"/>
      <c r="G77" s="255"/>
      <c r="H77" s="255"/>
      <c r="I77" s="255"/>
      <c r="J77" s="255"/>
      <c r="K77" s="255"/>
      <c r="L77" s="255"/>
      <c r="M77" s="255"/>
      <c r="N77" s="255"/>
      <c r="O77" s="255"/>
      <c r="P77" s="255"/>
    </row>
    <row r="78" spans="2:16" ht="11.25" hidden="1" x14ac:dyDescent="0.2">
      <c r="B78" s="255"/>
      <c r="C78" s="255"/>
      <c r="D78" s="255"/>
      <c r="E78" s="255"/>
      <c r="F78" s="255"/>
      <c r="G78" s="255"/>
      <c r="H78" s="255"/>
      <c r="I78" s="255"/>
      <c r="J78" s="255"/>
      <c r="K78" s="255"/>
      <c r="L78" s="255"/>
      <c r="M78" s="255"/>
      <c r="N78" s="255"/>
      <c r="O78" s="255"/>
      <c r="P78" s="255"/>
    </row>
    <row r="79" spans="2:16" ht="11.25" hidden="1" x14ac:dyDescent="0.2">
      <c r="B79" s="255"/>
      <c r="C79" s="255"/>
      <c r="D79" s="255"/>
      <c r="E79" s="255"/>
      <c r="F79" s="255"/>
      <c r="G79" s="255"/>
      <c r="H79" s="255"/>
      <c r="I79" s="255"/>
      <c r="J79" s="255"/>
      <c r="K79" s="255"/>
      <c r="L79" s="255"/>
      <c r="M79" s="255"/>
      <c r="N79" s="255"/>
      <c r="O79" s="255"/>
      <c r="P79" s="255"/>
    </row>
    <row r="80" spans="2:16" ht="11.25" x14ac:dyDescent="0.2">
      <c r="B80" s="255"/>
      <c r="C80" s="255"/>
      <c r="D80" s="255"/>
      <c r="E80" s="255"/>
      <c r="F80" s="255"/>
      <c r="G80" s="255"/>
      <c r="H80" s="255"/>
      <c r="I80" s="255"/>
      <c r="J80" s="255"/>
      <c r="K80" s="255"/>
      <c r="L80" s="255"/>
      <c r="M80" s="255"/>
      <c r="N80" s="255"/>
      <c r="O80" s="255"/>
      <c r="P80" s="255"/>
    </row>
    <row r="81" spans="2:16" ht="11.25" x14ac:dyDescent="0.2">
      <c r="B81" s="411" t="s">
        <v>441</v>
      </c>
      <c r="C81" s="406">
        <v>10957</v>
      </c>
      <c r="D81" s="255"/>
      <c r="E81" s="255"/>
      <c r="F81" s="255"/>
      <c r="G81" s="255"/>
      <c r="H81" s="255"/>
      <c r="I81" s="255"/>
      <c r="J81" s="255"/>
      <c r="K81" s="255"/>
      <c r="L81" s="255"/>
      <c r="M81" s="255"/>
      <c r="N81" s="255"/>
      <c r="O81" s="255"/>
      <c r="P81" s="255"/>
    </row>
    <row r="82" spans="2:16" ht="11.25" x14ac:dyDescent="0.2">
      <c r="B82" s="411" t="s">
        <v>442</v>
      </c>
      <c r="C82" s="406">
        <v>12783</v>
      </c>
      <c r="D82" s="255"/>
      <c r="E82" s="255"/>
      <c r="F82" s="255"/>
      <c r="G82" s="255"/>
      <c r="H82" s="255"/>
      <c r="I82" s="255"/>
      <c r="J82" s="255"/>
      <c r="K82" s="255"/>
      <c r="L82" s="255"/>
      <c r="M82" s="255"/>
      <c r="N82" s="255"/>
      <c r="O82" s="255"/>
      <c r="P82" s="255"/>
    </row>
    <row r="83" spans="2:16" ht="11.25" x14ac:dyDescent="0.2">
      <c r="B83" s="255"/>
      <c r="C83" s="255"/>
      <c r="D83" s="255"/>
      <c r="E83" s="255"/>
      <c r="F83" s="255"/>
      <c r="G83" s="255"/>
      <c r="H83" s="255"/>
      <c r="I83" s="255"/>
      <c r="J83" s="255"/>
      <c r="K83" s="255"/>
      <c r="L83" s="255"/>
      <c r="M83" s="255"/>
      <c r="N83" s="255"/>
      <c r="O83" s="255"/>
      <c r="P83" s="255"/>
    </row>
    <row r="84" spans="2:16" ht="11.25" x14ac:dyDescent="0.2">
      <c r="B84" s="255"/>
      <c r="C84" s="255"/>
      <c r="D84" s="255"/>
      <c r="E84" s="255"/>
      <c r="F84" s="255"/>
      <c r="G84" s="255"/>
      <c r="H84" s="255"/>
      <c r="I84" s="255"/>
      <c r="J84" s="255"/>
      <c r="K84" s="255"/>
      <c r="L84" s="255"/>
      <c r="M84" s="255"/>
      <c r="N84" s="255"/>
      <c r="O84" s="255"/>
      <c r="P84" s="255"/>
    </row>
    <row r="85" spans="2:16" ht="11.25" x14ac:dyDescent="0.2">
      <c r="B85" s="255"/>
      <c r="C85" s="255"/>
      <c r="D85" s="255"/>
      <c r="E85" s="255"/>
      <c r="F85" s="255"/>
      <c r="G85" s="255"/>
      <c r="H85" s="255"/>
      <c r="I85" s="255"/>
      <c r="J85" s="255"/>
      <c r="K85" s="255"/>
      <c r="L85" s="255"/>
      <c r="M85" s="255"/>
      <c r="N85" s="255"/>
      <c r="O85" s="255"/>
      <c r="P85" s="255"/>
    </row>
    <row r="86" spans="2:16" ht="11.25" x14ac:dyDescent="0.2">
      <c r="B86" s="255"/>
      <c r="C86" s="255"/>
      <c r="D86" s="255"/>
      <c r="E86" s="255"/>
      <c r="F86" s="255"/>
      <c r="G86" s="255"/>
      <c r="H86" s="255"/>
      <c r="I86" s="255"/>
      <c r="J86" s="255"/>
      <c r="K86" s="255"/>
      <c r="L86" s="255"/>
      <c r="M86" s="255"/>
      <c r="N86" s="255"/>
      <c r="O86" s="255"/>
      <c r="P86" s="255"/>
    </row>
    <row r="87" spans="2:16" ht="11.25" x14ac:dyDescent="0.2">
      <c r="B87" s="255"/>
      <c r="C87" s="255"/>
      <c r="D87" s="255"/>
      <c r="E87" s="255"/>
      <c r="F87" s="255"/>
      <c r="G87" s="255"/>
      <c r="H87" s="255"/>
      <c r="I87" s="255"/>
      <c r="J87" s="255"/>
      <c r="K87" s="255"/>
      <c r="L87" s="255"/>
      <c r="M87" s="255"/>
      <c r="N87" s="255"/>
      <c r="O87" s="255"/>
      <c r="P87" s="255"/>
    </row>
    <row r="88" spans="2:16" ht="11.25" x14ac:dyDescent="0.2">
      <c r="B88" s="255"/>
      <c r="C88" s="255"/>
      <c r="D88" s="255"/>
      <c r="E88" s="255"/>
      <c r="F88" s="255"/>
      <c r="G88" s="255"/>
      <c r="H88" s="255"/>
      <c r="I88" s="255"/>
      <c r="J88" s="255"/>
      <c r="K88" s="255"/>
      <c r="L88" s="255"/>
      <c r="M88" s="255"/>
      <c r="N88" s="255"/>
      <c r="O88" s="255"/>
      <c r="P88" s="255"/>
    </row>
    <row r="89" spans="2:16" ht="11.25" x14ac:dyDescent="0.2">
      <c r="B89" s="255"/>
      <c r="C89" s="255"/>
      <c r="D89" s="255"/>
      <c r="E89" s="255"/>
      <c r="F89" s="255"/>
      <c r="G89" s="255"/>
      <c r="H89" s="255"/>
      <c r="I89" s="255"/>
      <c r="J89" s="255"/>
      <c r="K89" s="255"/>
      <c r="L89" s="255"/>
      <c r="M89" s="255"/>
      <c r="N89" s="255"/>
      <c r="O89" s="255"/>
      <c r="P89" s="255"/>
    </row>
    <row r="90" spans="2:16" ht="11.25" x14ac:dyDescent="0.2">
      <c r="B90" s="255"/>
      <c r="C90" s="255"/>
      <c r="D90" s="255"/>
      <c r="E90" s="255"/>
      <c r="F90" s="255"/>
      <c r="G90" s="255"/>
      <c r="H90" s="255"/>
      <c r="I90" s="255"/>
      <c r="J90" s="255"/>
      <c r="K90" s="255"/>
      <c r="L90" s="255"/>
      <c r="M90" s="255"/>
      <c r="N90" s="255"/>
      <c r="O90" s="255"/>
      <c r="P90" s="255"/>
    </row>
    <row r="91" spans="2:16" ht="11.25" x14ac:dyDescent="0.2">
      <c r="B91" s="255"/>
      <c r="C91" s="255"/>
      <c r="D91" s="255"/>
      <c r="E91" s="255"/>
      <c r="F91" s="255"/>
      <c r="G91" s="255"/>
      <c r="H91" s="255"/>
      <c r="I91" s="255"/>
      <c r="J91" s="255"/>
      <c r="K91" s="255"/>
      <c r="L91" s="255"/>
      <c r="M91" s="255"/>
      <c r="N91" s="255"/>
      <c r="O91" s="255"/>
      <c r="P91" s="255"/>
    </row>
    <row r="92" spans="2:16" ht="11.25" x14ac:dyDescent="0.2">
      <c r="B92" s="255"/>
      <c r="C92" s="255"/>
      <c r="D92" s="255"/>
      <c r="E92" s="255"/>
      <c r="F92" s="255"/>
      <c r="G92" s="255"/>
      <c r="H92" s="255"/>
      <c r="I92" s="255"/>
      <c r="J92" s="255"/>
      <c r="K92" s="255"/>
      <c r="L92" s="255"/>
      <c r="M92" s="255"/>
      <c r="N92" s="255"/>
      <c r="O92" s="255"/>
      <c r="P92" s="255"/>
    </row>
    <row r="93" spans="2:16" ht="11.25" x14ac:dyDescent="0.2">
      <c r="B93" s="255"/>
      <c r="C93" s="255"/>
      <c r="D93" s="255"/>
      <c r="E93" s="255"/>
      <c r="F93" s="255"/>
      <c r="G93" s="255"/>
      <c r="H93" s="255"/>
      <c r="I93" s="255"/>
      <c r="J93" s="255"/>
      <c r="K93" s="255"/>
      <c r="L93" s="255"/>
      <c r="M93" s="255"/>
      <c r="N93" s="255"/>
      <c r="O93" s="255"/>
      <c r="P93" s="255"/>
    </row>
    <row r="94" spans="2:16" ht="11.25" x14ac:dyDescent="0.2">
      <c r="B94" s="255"/>
      <c r="C94" s="255"/>
      <c r="D94" s="255"/>
      <c r="E94" s="255"/>
      <c r="F94" s="255"/>
      <c r="G94" s="255"/>
      <c r="H94" s="255"/>
      <c r="I94" s="255"/>
      <c r="J94" s="255"/>
      <c r="K94" s="255"/>
      <c r="L94" s="255"/>
      <c r="M94" s="255"/>
      <c r="N94" s="255"/>
      <c r="O94" s="255"/>
      <c r="P94" s="255"/>
    </row>
    <row r="95" spans="2:16" ht="11.25" x14ac:dyDescent="0.2">
      <c r="B95" s="255"/>
      <c r="C95" s="255"/>
      <c r="D95" s="255"/>
      <c r="E95" s="255"/>
      <c r="F95" s="255"/>
      <c r="G95" s="255"/>
      <c r="H95" s="255"/>
      <c r="I95" s="255"/>
      <c r="J95" s="255"/>
      <c r="K95" s="255"/>
      <c r="L95" s="255"/>
      <c r="M95" s="255"/>
      <c r="N95" s="255"/>
      <c r="O95" s="255"/>
      <c r="P95" s="255"/>
    </row>
    <row r="96" spans="2:16" ht="11.25" x14ac:dyDescent="0.2">
      <c r="B96" s="255"/>
      <c r="C96" s="255"/>
      <c r="D96" s="255"/>
      <c r="E96" s="255"/>
      <c r="F96" s="255"/>
      <c r="G96" s="255"/>
      <c r="H96" s="255"/>
      <c r="I96" s="255"/>
      <c r="J96" s="255"/>
      <c r="K96" s="255"/>
      <c r="L96" s="255"/>
      <c r="M96" s="255"/>
      <c r="N96" s="255"/>
      <c r="O96" s="255"/>
      <c r="P96" s="255"/>
    </row>
    <row r="97" spans="2:16" ht="11.25" x14ac:dyDescent="0.2">
      <c r="B97" s="255"/>
      <c r="C97" s="255"/>
      <c r="D97" s="255"/>
      <c r="E97" s="255"/>
      <c r="F97" s="255"/>
      <c r="G97" s="255"/>
      <c r="H97" s="255"/>
      <c r="I97" s="255"/>
      <c r="J97" s="255"/>
      <c r="K97" s="255"/>
      <c r="L97" s="255"/>
      <c r="M97" s="255"/>
      <c r="N97" s="255"/>
      <c r="O97" s="255"/>
      <c r="P97" s="255"/>
    </row>
    <row r="98" spans="2:16" ht="11.25" x14ac:dyDescent="0.2">
      <c r="B98" s="255"/>
      <c r="C98" s="255"/>
      <c r="D98" s="255"/>
      <c r="E98" s="255"/>
      <c r="F98" s="255"/>
      <c r="G98" s="255"/>
      <c r="H98" s="255"/>
      <c r="I98" s="255"/>
      <c r="J98" s="255"/>
      <c r="K98" s="255"/>
      <c r="L98" s="255"/>
      <c r="M98" s="255"/>
      <c r="N98" s="255"/>
      <c r="O98" s="255"/>
      <c r="P98" s="255"/>
    </row>
    <row r="99" spans="2:16" ht="11.25" x14ac:dyDescent="0.2">
      <c r="B99" s="255"/>
      <c r="C99" s="255"/>
      <c r="D99" s="255"/>
      <c r="E99" s="255"/>
      <c r="F99" s="255"/>
      <c r="G99" s="255"/>
      <c r="H99" s="255"/>
      <c r="I99" s="255"/>
      <c r="J99" s="255"/>
      <c r="K99" s="255"/>
      <c r="L99" s="255"/>
      <c r="M99" s="255"/>
      <c r="N99" s="255"/>
      <c r="O99" s="255"/>
      <c r="P99" s="255"/>
    </row>
    <row r="100" spans="2:16" ht="11.25" x14ac:dyDescent="0.2">
      <c r="B100" s="255"/>
      <c r="C100" s="255"/>
      <c r="D100" s="255"/>
      <c r="E100" s="255"/>
      <c r="F100" s="295"/>
      <c r="G100" s="255"/>
      <c r="H100" s="255"/>
      <c r="I100" s="255"/>
      <c r="J100" s="255"/>
      <c r="K100" s="255"/>
      <c r="L100" s="255"/>
      <c r="M100" s="255"/>
      <c r="N100" s="255"/>
      <c r="O100" s="255"/>
      <c r="P100" s="255"/>
    </row>
    <row r="101" spans="2:16" ht="11.25" x14ac:dyDescent="0.2">
      <c r="B101" s="255"/>
      <c r="C101" s="255"/>
      <c r="D101" s="255"/>
      <c r="E101" s="255"/>
      <c r="F101" s="295"/>
      <c r="G101" s="255"/>
      <c r="H101" s="255"/>
      <c r="I101" s="255"/>
      <c r="J101" s="255"/>
      <c r="K101" s="255"/>
      <c r="L101" s="255"/>
      <c r="M101" s="255"/>
      <c r="N101" s="255"/>
      <c r="O101" s="255"/>
      <c r="P101" s="255"/>
    </row>
    <row r="102" spans="2:16" ht="11.25" x14ac:dyDescent="0.2">
      <c r="B102" s="255"/>
      <c r="C102" s="255"/>
      <c r="D102" s="255"/>
      <c r="E102" s="255"/>
      <c r="F102" s="295"/>
      <c r="G102" s="255"/>
      <c r="H102" s="255"/>
      <c r="I102" s="255"/>
      <c r="J102" s="255"/>
      <c r="K102" s="255"/>
      <c r="L102" s="255"/>
      <c r="M102" s="255"/>
      <c r="N102" s="255"/>
      <c r="O102" s="255"/>
      <c r="P102" s="255"/>
    </row>
    <row r="103" spans="2:16" ht="11.25" x14ac:dyDescent="0.2">
      <c r="B103" s="255"/>
      <c r="C103" s="255"/>
      <c r="D103" s="255"/>
      <c r="E103" s="255"/>
      <c r="F103" s="255"/>
      <c r="G103" s="255"/>
      <c r="H103" s="255"/>
      <c r="I103" s="255"/>
      <c r="J103" s="255"/>
      <c r="K103" s="255"/>
      <c r="L103" s="255"/>
      <c r="M103" s="255"/>
      <c r="N103" s="255"/>
      <c r="O103" s="255"/>
      <c r="P103" s="255"/>
    </row>
    <row r="104" spans="2:16" ht="11.25" x14ac:dyDescent="0.2">
      <c r="B104" s="255"/>
      <c r="C104" s="255"/>
      <c r="D104" s="255"/>
      <c r="E104" s="255"/>
      <c r="F104" s="255"/>
      <c r="G104" s="255"/>
      <c r="H104" s="255"/>
      <c r="I104" s="255"/>
      <c r="J104" s="255"/>
      <c r="K104" s="255"/>
      <c r="L104" s="255"/>
      <c r="M104" s="255"/>
      <c r="N104" s="255"/>
      <c r="O104" s="255"/>
      <c r="P104" s="255"/>
    </row>
    <row r="105" spans="2:16" ht="11.25" x14ac:dyDescent="0.2">
      <c r="B105" s="255"/>
      <c r="C105" s="255"/>
      <c r="D105" s="255"/>
      <c r="E105" s="255"/>
      <c r="F105" s="255"/>
      <c r="G105" s="255"/>
      <c r="H105" s="255"/>
      <c r="I105" s="255"/>
      <c r="J105" s="255"/>
      <c r="K105" s="255"/>
      <c r="L105" s="255"/>
      <c r="M105" s="255"/>
      <c r="N105" s="255"/>
      <c r="O105" s="255"/>
      <c r="P105" s="255"/>
    </row>
    <row r="106" spans="2:16" ht="11.25" x14ac:dyDescent="0.2">
      <c r="B106" s="255"/>
      <c r="C106" s="255"/>
      <c r="D106" s="255"/>
      <c r="E106" s="255"/>
      <c r="F106" s="255"/>
      <c r="G106" s="255"/>
      <c r="H106" s="255"/>
      <c r="I106" s="255"/>
      <c r="J106" s="255"/>
      <c r="K106" s="255"/>
      <c r="L106" s="255"/>
      <c r="M106" s="255"/>
      <c r="N106" s="255"/>
      <c r="O106" s="255"/>
      <c r="P106" s="255"/>
    </row>
    <row r="107" spans="2:16" ht="11.25" x14ac:dyDescent="0.2">
      <c r="B107" s="255"/>
      <c r="C107" s="255"/>
      <c r="D107" s="255"/>
      <c r="E107" s="255"/>
      <c r="F107" s="255"/>
      <c r="G107" s="255"/>
      <c r="H107" s="255"/>
      <c r="I107" s="255"/>
      <c r="J107" s="255"/>
      <c r="K107" s="255"/>
      <c r="L107" s="255"/>
      <c r="M107" s="255"/>
      <c r="N107" s="255"/>
      <c r="O107" s="255"/>
      <c r="P107" s="255"/>
    </row>
    <row r="108" spans="2:16" ht="11.25" x14ac:dyDescent="0.2">
      <c r="B108" s="255"/>
      <c r="C108" s="255"/>
      <c r="D108" s="255"/>
      <c r="E108" s="255"/>
      <c r="F108" s="255"/>
      <c r="G108" s="255"/>
      <c r="H108" s="255"/>
      <c r="I108" s="255"/>
      <c r="J108" s="255"/>
      <c r="K108" s="255"/>
      <c r="L108" s="255"/>
      <c r="M108" s="255"/>
      <c r="N108" s="255"/>
      <c r="O108" s="255"/>
      <c r="P108" s="255"/>
    </row>
    <row r="109" spans="2:16" ht="11.25" x14ac:dyDescent="0.2">
      <c r="B109" s="255"/>
      <c r="C109" s="255"/>
      <c r="D109" s="255"/>
      <c r="E109" s="255"/>
      <c r="F109" s="255"/>
      <c r="G109" s="255"/>
      <c r="H109" s="255"/>
      <c r="I109" s="255"/>
      <c r="J109" s="255"/>
      <c r="K109" s="255"/>
      <c r="L109" s="255"/>
      <c r="M109" s="255"/>
      <c r="N109" s="255"/>
      <c r="O109" s="255"/>
      <c r="P109" s="255"/>
    </row>
    <row r="110" spans="2:16" ht="11.25" x14ac:dyDescent="0.2">
      <c r="B110" s="255"/>
      <c r="C110" s="255"/>
      <c r="D110" s="255"/>
      <c r="E110" s="255"/>
      <c r="F110" s="255"/>
      <c r="G110" s="255"/>
      <c r="H110" s="255"/>
      <c r="I110" s="255"/>
      <c r="J110" s="255"/>
      <c r="K110" s="255"/>
      <c r="L110" s="255"/>
      <c r="M110" s="255"/>
      <c r="N110" s="255"/>
      <c r="O110" s="255"/>
      <c r="P110" s="255"/>
    </row>
    <row r="111" spans="2:16" ht="11.25" x14ac:dyDescent="0.2">
      <c r="B111" s="255"/>
      <c r="C111" s="255"/>
      <c r="D111" s="255"/>
      <c r="E111" s="255"/>
      <c r="F111" s="255"/>
      <c r="G111" s="255"/>
      <c r="H111" s="255"/>
      <c r="I111" s="255"/>
      <c r="J111" s="255"/>
      <c r="K111" s="255"/>
      <c r="L111" s="255"/>
      <c r="M111" s="255"/>
      <c r="N111" s="255"/>
      <c r="O111" s="255"/>
      <c r="P111" s="255"/>
    </row>
    <row r="112" spans="2:16" ht="11.25" x14ac:dyDescent="0.2">
      <c r="B112" s="255"/>
      <c r="C112" s="255"/>
      <c r="D112" s="255"/>
      <c r="E112" s="255"/>
      <c r="F112" s="255"/>
      <c r="G112" s="255"/>
      <c r="H112" s="255"/>
      <c r="I112" s="255"/>
      <c r="J112" s="255"/>
      <c r="K112" s="255"/>
      <c r="L112" s="255"/>
      <c r="M112" s="255"/>
      <c r="N112" s="255"/>
      <c r="O112" s="255"/>
      <c r="P112" s="255"/>
    </row>
    <row r="113" spans="2:16" ht="11.25" x14ac:dyDescent="0.2">
      <c r="B113" s="255"/>
      <c r="C113" s="255"/>
      <c r="D113" s="255"/>
      <c r="E113" s="255"/>
      <c r="F113" s="255"/>
      <c r="G113" s="255"/>
      <c r="H113" s="255"/>
      <c r="I113" s="255"/>
      <c r="J113" s="255"/>
      <c r="K113" s="255"/>
      <c r="L113" s="255"/>
      <c r="M113" s="255"/>
      <c r="N113" s="255"/>
      <c r="O113" s="255"/>
      <c r="P113" s="255"/>
    </row>
    <row r="114" spans="2:16" ht="11.25" x14ac:dyDescent="0.2">
      <c r="B114" s="255"/>
      <c r="C114" s="255"/>
      <c r="D114" s="255"/>
      <c r="E114" s="255"/>
      <c r="F114" s="255"/>
      <c r="G114" s="255"/>
      <c r="H114" s="255"/>
      <c r="I114" s="255"/>
      <c r="J114" s="255"/>
      <c r="K114" s="255"/>
      <c r="L114" s="255"/>
      <c r="M114" s="255"/>
      <c r="N114" s="255"/>
      <c r="O114" s="255"/>
      <c r="P114" s="255"/>
    </row>
    <row r="115" spans="2:16" ht="11.25" x14ac:dyDescent="0.2">
      <c r="B115" s="255"/>
      <c r="C115" s="255"/>
      <c r="D115" s="255"/>
      <c r="E115" s="255"/>
      <c r="F115" s="255"/>
      <c r="G115" s="255"/>
      <c r="H115" s="255"/>
      <c r="I115" s="255"/>
      <c r="J115" s="255"/>
      <c r="K115" s="255"/>
      <c r="L115" s="255"/>
      <c r="M115" s="255"/>
      <c r="N115" s="255"/>
      <c r="O115" s="255"/>
      <c r="P115" s="255"/>
    </row>
    <row r="116" spans="2:16" ht="11.25" x14ac:dyDescent="0.2">
      <c r="B116" s="255"/>
      <c r="C116" s="255"/>
      <c r="D116" s="255"/>
      <c r="E116" s="255"/>
      <c r="F116" s="255"/>
      <c r="G116" s="255"/>
      <c r="H116" s="255"/>
      <c r="I116" s="255"/>
      <c r="J116" s="255"/>
      <c r="K116" s="255"/>
      <c r="L116" s="255"/>
      <c r="M116" s="255"/>
      <c r="N116" s="255"/>
      <c r="O116" s="255"/>
      <c r="P116" s="255"/>
    </row>
    <row r="117" spans="2:16" ht="11.25" x14ac:dyDescent="0.2">
      <c r="B117" s="255"/>
      <c r="C117" s="255"/>
      <c r="D117" s="255"/>
      <c r="E117" s="255"/>
      <c r="F117" s="255"/>
      <c r="G117" s="255"/>
      <c r="H117" s="255"/>
      <c r="I117" s="255"/>
      <c r="J117" s="255"/>
      <c r="K117" s="255"/>
      <c r="L117" s="255"/>
      <c r="M117" s="255"/>
      <c r="N117" s="255"/>
      <c r="O117" s="255"/>
      <c r="P117" s="255"/>
    </row>
  </sheetData>
  <sheetProtection algorithmName="SHA-512" hashValue="LNR3Q4lqruajnjwwfdaWL+05CtFAWBQvstOB5dSqhUpU4Ht620KL+csXMk27/bjbf1S1vns3p1adbm1VtiCyAQ==" saltValue="qcjDc1didbVzaeR+DbWtag==" spinCount="100000" sheet="1" selectLockedCells="1"/>
  <mergeCells count="17">
    <mergeCell ref="C43:D43"/>
    <mergeCell ref="E43:F43"/>
    <mergeCell ref="C39:G39"/>
    <mergeCell ref="C38:G38"/>
    <mergeCell ref="C40:G40"/>
    <mergeCell ref="B1:F1"/>
    <mergeCell ref="B2:F2"/>
    <mergeCell ref="B3:F3"/>
    <mergeCell ref="C42:D42"/>
    <mergeCell ref="E42:F42"/>
    <mergeCell ref="C47:D47"/>
    <mergeCell ref="E47:F47"/>
    <mergeCell ref="C44:D44"/>
    <mergeCell ref="E44:F44"/>
    <mergeCell ref="C45:D45"/>
    <mergeCell ref="E45:F45"/>
    <mergeCell ref="E46:F46"/>
  </mergeCells>
  <phoneticPr fontId="50" type="noConversion"/>
  <dataValidations count="4">
    <dataValidation type="list" allowBlank="1" showInputMessage="1" showErrorMessage="1" sqref="B41" xr:uid="{00000000-0002-0000-1200-000000000000}">
      <formula1>$B$62:$B$65</formula1>
    </dataValidation>
    <dataValidation type="list" allowBlank="1" showInputMessage="1" showErrorMessage="1" sqref="B38" xr:uid="{00000000-0002-0000-1200-000001000000}">
      <formula1>$B$66:$B$68</formula1>
    </dataValidation>
    <dataValidation type="list" allowBlank="1" showInputMessage="1" showErrorMessage="1" sqref="B39" xr:uid="{00000000-0002-0000-1200-000002000000}">
      <formula1>$B$71:$B$74</formula1>
    </dataValidation>
    <dataValidation type="list" allowBlank="1" showInputMessage="1" showErrorMessage="1" sqref="B40" xr:uid="{00000000-0002-0000-1200-000003000000}">
      <formula1>$B$61:$B$65</formula1>
    </dataValidation>
  </dataValidations>
  <pageMargins left="0.7" right="0.7" top="0.75" bottom="0.75" header="0.3" footer="0.3"/>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D2:L9"/>
  <sheetViews>
    <sheetView workbookViewId="0">
      <selection activeCell="L26" sqref="L26"/>
    </sheetView>
    <sheetView workbookViewId="1"/>
  </sheetViews>
  <sheetFormatPr baseColWidth="10" defaultRowHeight="12.75" x14ac:dyDescent="0.2"/>
  <sheetData>
    <row r="2" spans="4:12" x14ac:dyDescent="0.2">
      <c r="D2" s="272">
        <v>40460</v>
      </c>
    </row>
    <row r="3" spans="4:12" x14ac:dyDescent="0.2">
      <c r="D3" s="272">
        <f>+D2*1.5%</f>
        <v>606.9</v>
      </c>
    </row>
    <row r="4" spans="4:12" x14ac:dyDescent="0.2">
      <c r="D4" s="162">
        <f>+D3+D2</f>
        <v>41066.9</v>
      </c>
    </row>
    <row r="5" spans="4:12" x14ac:dyDescent="0.2">
      <c r="I5" s="162">
        <v>46968</v>
      </c>
    </row>
    <row r="6" spans="4:12" x14ac:dyDescent="0.2">
      <c r="D6" s="162"/>
    </row>
    <row r="7" spans="4:12" x14ac:dyDescent="0.2">
      <c r="L7" s="272">
        <v>43942</v>
      </c>
    </row>
    <row r="8" spans="4:12" x14ac:dyDescent="0.2">
      <c r="L8">
        <v>60</v>
      </c>
    </row>
    <row r="9" spans="4:12" x14ac:dyDescent="0.2">
      <c r="L9" s="272">
        <f>+L7+L8</f>
        <v>44002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03"/>
  <sheetViews>
    <sheetView topLeftCell="A1048576" workbookViewId="0">
      <selection sqref="A1:XFD1048576"/>
    </sheetView>
    <sheetView topLeftCell="A1048576" workbookViewId="1"/>
  </sheetViews>
  <sheetFormatPr baseColWidth="10" defaultRowHeight="12.95" customHeight="1" zeroHeight="1" x14ac:dyDescent="0.2"/>
  <cols>
    <col min="1" max="1" width="3.42578125" style="3" customWidth="1"/>
    <col min="2" max="2" width="90" style="3" customWidth="1"/>
    <col min="3" max="3" width="8.28515625" style="3" customWidth="1"/>
    <col min="4" max="5" width="5.5703125" style="3" bestFit="1" customWidth="1"/>
    <col min="6" max="6" width="10.28515625" style="3" customWidth="1"/>
    <col min="7" max="7" width="9.140625" style="3" bestFit="1" customWidth="1"/>
    <col min="8" max="8" width="14.140625" style="3" bestFit="1" customWidth="1"/>
    <col min="9" max="9" width="15.5703125" style="3" customWidth="1"/>
    <col min="10" max="10" width="9.140625" style="3" bestFit="1" customWidth="1"/>
    <col min="11" max="11" width="7.140625" style="3" customWidth="1"/>
    <col min="12" max="12" width="6.28515625" style="3" customWidth="1"/>
    <col min="13" max="13" width="8.85546875" style="3" customWidth="1"/>
    <col min="14" max="14" width="9.140625" style="3" customWidth="1"/>
    <col min="15" max="15" width="7.140625" style="3" customWidth="1"/>
    <col min="16" max="16" width="7.85546875" style="3" customWidth="1"/>
    <col min="17" max="40" width="11.42578125" style="3" customWidth="1"/>
    <col min="41" max="16384" width="11.42578125" style="3"/>
  </cols>
  <sheetData>
    <row r="1" spans="1:16" ht="15.75" hidden="1" x14ac:dyDescent="0.2">
      <c r="A1" s="2"/>
      <c r="B1" s="502" t="str">
        <f>+Datos!C1</f>
        <v>Estimación de la Pensión de Jubilación 2024</v>
      </c>
      <c r="C1" s="503"/>
      <c r="D1" s="503"/>
      <c r="E1" s="503"/>
      <c r="F1" s="503"/>
    </row>
    <row r="2" spans="1:16" ht="17.25" hidden="1" customHeight="1" x14ac:dyDescent="0.25">
      <c r="A2" s="2"/>
      <c r="B2" s="478" t="s">
        <v>28</v>
      </c>
      <c r="C2" s="478"/>
      <c r="D2" s="478"/>
      <c r="E2" s="478"/>
      <c r="F2" s="478"/>
    </row>
    <row r="3" spans="1:16" ht="18" hidden="1" x14ac:dyDescent="0.25">
      <c r="A3" s="2"/>
      <c r="B3" s="479" t="s">
        <v>429</v>
      </c>
      <c r="C3" s="480"/>
      <c r="D3" s="480"/>
      <c r="E3" s="480"/>
      <c r="F3" s="480"/>
    </row>
    <row r="4" spans="1:16" ht="33.75" hidden="1" x14ac:dyDescent="0.2">
      <c r="C4" s="186" t="s">
        <v>6</v>
      </c>
      <c r="D4" s="187" t="s">
        <v>7</v>
      </c>
      <c r="E4" s="187" t="s">
        <v>8</v>
      </c>
      <c r="F4" s="188" t="s">
        <v>191</v>
      </c>
      <c r="G4" s="189" t="s">
        <v>192</v>
      </c>
    </row>
    <row r="5" spans="1:16" ht="12.95" hidden="1" customHeight="1" x14ac:dyDescent="0.2">
      <c r="B5" s="191" t="s">
        <v>27</v>
      </c>
      <c r="C5" s="259">
        <f>INT(N5/365.25)</f>
        <v>0</v>
      </c>
      <c r="D5" s="259">
        <f>INT((+N5/365.25-C5)*12)</f>
        <v>0</v>
      </c>
      <c r="E5" s="259">
        <f t="shared" ref="E5:E10" si="0">INT((((+N5/365.25-C5)*12)-D5)*30)</f>
        <v>0</v>
      </c>
      <c r="F5" s="190">
        <f>+'Haber Regulador'!E5</f>
        <v>49914.06</v>
      </c>
      <c r="G5" s="190">
        <f>+F5/14</f>
        <v>3565.29</v>
      </c>
      <c r="N5" s="160">
        <f>+'Tiempos de cotización'!G5+'Tiempos de cotización'!G19+'Tiempos de cotización'!G14+'Tiempos de cotización'!G27+'Tiempos de cotización'!G33</f>
        <v>0</v>
      </c>
    </row>
    <row r="6" spans="1:16" ht="12.95" hidden="1" customHeight="1" x14ac:dyDescent="0.2">
      <c r="B6" s="34" t="s">
        <v>26</v>
      </c>
      <c r="C6" s="259">
        <f>INT(N6/365.25)</f>
        <v>30</v>
      </c>
      <c r="D6" s="259">
        <f t="shared" ref="D6:D10" si="1">INT((+N6/365.25-C6)*12)</f>
        <v>0</v>
      </c>
      <c r="E6" s="259">
        <f t="shared" si="0"/>
        <v>0</v>
      </c>
      <c r="F6" s="190">
        <f>+'Haber Regulador'!H5</f>
        <v>39283.61</v>
      </c>
      <c r="G6" s="190">
        <f t="shared" ref="G6:G10" si="2">+F6/14</f>
        <v>2805.9721428571429</v>
      </c>
      <c r="N6" s="160">
        <f>+'Tiempos de cotización'!G6+'Tiempos de cotización'!G20+'Tiempos de cotización'!G15+'Tiempos de cotización'!G28+'Tiempos de cotización'!G34</f>
        <v>10958</v>
      </c>
    </row>
    <row r="7" spans="1:16" ht="12.95" hidden="1" customHeight="1" x14ac:dyDescent="0.2">
      <c r="B7" s="33" t="s">
        <v>25</v>
      </c>
      <c r="C7" s="259">
        <f t="shared" ref="C7:C10" si="3">INT(N7/365.25)</f>
        <v>0</v>
      </c>
      <c r="D7" s="259">
        <f t="shared" si="1"/>
        <v>0</v>
      </c>
      <c r="E7" s="259">
        <f t="shared" si="0"/>
        <v>0</v>
      </c>
      <c r="F7" s="190">
        <f>+'Haber Regulador'!K5</f>
        <v>34399.18</v>
      </c>
      <c r="G7" s="190">
        <f t="shared" si="2"/>
        <v>2457.0842857142857</v>
      </c>
      <c r="N7" s="160">
        <f>+'Tiempos de cotización'!G7</f>
        <v>0</v>
      </c>
    </row>
    <row r="8" spans="1:16" ht="12.95" hidden="1" customHeight="1" x14ac:dyDescent="0.2">
      <c r="B8" s="33" t="s">
        <v>24</v>
      </c>
      <c r="C8" s="259">
        <f t="shared" si="3"/>
        <v>0</v>
      </c>
      <c r="D8" s="259">
        <f t="shared" si="1"/>
        <v>0</v>
      </c>
      <c r="E8" s="259">
        <f t="shared" si="0"/>
        <v>0</v>
      </c>
      <c r="F8" s="190">
        <f>+'Haber Regulador'!N5</f>
        <v>30170.49</v>
      </c>
      <c r="G8" s="190">
        <f t="shared" si="2"/>
        <v>2155.0350000000003</v>
      </c>
      <c r="N8" s="160">
        <f>+'Tiempos de cotización'!G8+'Tiempos de cotización'!G21</f>
        <v>0</v>
      </c>
    </row>
    <row r="9" spans="1:16" ht="12.95" hidden="1" customHeight="1" x14ac:dyDescent="0.2">
      <c r="B9" s="33" t="s">
        <v>23</v>
      </c>
      <c r="C9" s="259">
        <f>INT(N9/365.25)</f>
        <v>0</v>
      </c>
      <c r="D9" s="259">
        <f t="shared" si="1"/>
        <v>0</v>
      </c>
      <c r="E9" s="259">
        <f t="shared" si="0"/>
        <v>0</v>
      </c>
      <c r="F9" s="190">
        <f>+'Haber Regulador'!Q5</f>
        <v>23869.85</v>
      </c>
      <c r="G9" s="190">
        <f t="shared" si="2"/>
        <v>1704.9892857142856</v>
      </c>
      <c r="N9" s="160">
        <f>+'Tiempos de cotización'!G9+'Tiempos de cotización'!G22</f>
        <v>0</v>
      </c>
    </row>
    <row r="10" spans="1:16" ht="12.95" hidden="1" customHeight="1" thickBot="1" x14ac:dyDescent="0.25">
      <c r="B10" s="33" t="s">
        <v>22</v>
      </c>
      <c r="C10" s="259">
        <f t="shared" si="3"/>
        <v>0</v>
      </c>
      <c r="D10" s="259">
        <f t="shared" si="1"/>
        <v>0</v>
      </c>
      <c r="E10" s="259">
        <f t="shared" si="0"/>
        <v>0</v>
      </c>
      <c r="F10" s="190">
        <f>+'Haber Regulador'!T5</f>
        <v>20350.96</v>
      </c>
      <c r="G10" s="190">
        <f t="shared" si="2"/>
        <v>1453.6399999999999</v>
      </c>
      <c r="N10" s="160">
        <f>+'Tiempos de cotización'!G10+'Tiempos de cotización'!G23+'Tiempos de cotización'!G37</f>
        <v>0</v>
      </c>
    </row>
    <row r="11" spans="1:16" ht="13.5" hidden="1" thickBot="1" x14ac:dyDescent="0.25">
      <c r="A11" s="2"/>
      <c r="B11" s="246" t="s">
        <v>200</v>
      </c>
      <c r="C11" s="247">
        <f>INT((((+C10+C9+C8+C7+C6+C5)*365.25)+((+D10+D9+D8+D7+D6+D5)*30.4375)+(+E10+E9+E8+E7+E6+E5))/365.25)</f>
        <v>30</v>
      </c>
      <c r="D11" s="247">
        <f>INT((((((+C10+C9+C8+C7+C6+C5)*365.25)+((+D10+D9+D8+D7+D6+D5)*30.4375)+(+E10+E9+E8+E7+E6+E5))/365.25)-INT((((+C10+C9+C8+C7+C6+C5)*365.25)+((+D10+D9+D8+D7+D6+D5)*30.4375)+(+E10+E9+E8+E7+E6+E5))/365.25))*12)</f>
        <v>0</v>
      </c>
      <c r="E11" s="248">
        <f>ROUND(((((((((+C10+C9+C8+C7+C6+C5)*365.25)+((+D10+D9+D8+D7+D6+D5)*30.4375)+(+E10+E9+E8+E7+E6+E5))/365.25)-INT((((+C10+C9+C8+C7+C6+C5)*365.25)+((+D10+D9+D8+D7+D6+D5)*30.4375)+(+E10+E9+E8+E7+E6+E5))/365.25))*12)-INT((((((+C10+C9+C8+C7+C6+C5)*365.25)+((+D10+D9+D8+D7+D6+D5)*30.4375)+(+E10+E9+E8+E7+E6+E5))/365.25)-INT((((+C10+C9+C8+C7+C6+C5)*365.25)+((+D10+D9+D8+D7+D6+D5)*30.4375)+(+E10+E9+E8+E7+E6+E5))/365.25))*12))*30),0)</f>
        <v>0</v>
      </c>
      <c r="F11" s="249">
        <f>+'Haber Regulador'!I43</f>
        <v>44450.559999999998</v>
      </c>
      <c r="G11" s="249">
        <f>+F11/14</f>
        <v>3175.04</v>
      </c>
      <c r="H11" s="250" t="s">
        <v>201</v>
      </c>
      <c r="N11" s="160">
        <f>SUM(N5:N10)</f>
        <v>10958</v>
      </c>
    </row>
    <row r="12" spans="1:16" ht="11.25" hidden="1" x14ac:dyDescent="0.2"/>
    <row r="13" spans="1:16" ht="12.75" hidden="1" x14ac:dyDescent="0.2">
      <c r="A13" s="2"/>
      <c r="B13" s="192"/>
      <c r="C13" s="193"/>
      <c r="D13" s="193"/>
      <c r="E13" s="193"/>
      <c r="N13" s="194"/>
    </row>
    <row r="14" spans="1:16" ht="12.75" hidden="1" x14ac:dyDescent="0.2">
      <c r="A14" s="2"/>
      <c r="B14" s="195" t="s">
        <v>193</v>
      </c>
      <c r="C14" s="196">
        <f>IF((C10*365.25)+(D10*30.4375)+(E10)&gt;0,+((((+C6*365.25)+(D6*30.4375)+E6)/365.25)+(((+C5*365.25)+(D5*30.4375)+E5)/365.25)+(((+C7*365.25)+(D7*30.4375)+E7)/365.25)+(((+C8*365.25)+(D8*30.4375)+E8)/365.25)+(((+C9*365.25)+(D9*30.4375)+E9)/365.25)+(((+C10*365.25)+(D10*30.4375)+E10)/365.25)),0)</f>
        <v>0</v>
      </c>
      <c r="D14" s="197"/>
      <c r="E14" s="198"/>
      <c r="N14" s="194"/>
    </row>
    <row r="15" spans="1:16" ht="12.75" hidden="1" x14ac:dyDescent="0.2">
      <c r="A15" s="2"/>
      <c r="B15" s="195"/>
      <c r="C15" s="199">
        <f>(+C14-C16)*365.25</f>
        <v>0</v>
      </c>
      <c r="D15" s="200">
        <f>+C15/30.4275</f>
        <v>0</v>
      </c>
      <c r="E15" s="200">
        <f>+D15-D16</f>
        <v>0</v>
      </c>
      <c r="N15" s="194"/>
    </row>
    <row r="16" spans="1:16" ht="12.75" hidden="1" x14ac:dyDescent="0.2">
      <c r="A16" s="2"/>
      <c r="B16" s="201" t="s">
        <v>194</v>
      </c>
      <c r="C16" s="202">
        <f>INT(+C14)</f>
        <v>0</v>
      </c>
      <c r="D16" s="202">
        <f>INT(+C15/30.4375)</f>
        <v>0</v>
      </c>
      <c r="E16" s="202">
        <f>INT(+E15*30.4375)</f>
        <v>0</v>
      </c>
      <c r="F16" s="3" t="s">
        <v>217</v>
      </c>
      <c r="N16" s="203">
        <f>+F10</f>
        <v>20350.96</v>
      </c>
      <c r="O16" s="204">
        <f>IF($C16=1,1.24%,IF($C16=2,2.55%,IF($C16=3,3.88%,IF($C16=4,5.31%,IF($C16=5,6.83%,IF($C16=6,8.43%,IF($C16=7,10.11%,IF($C16=8,11.88%,IF($C16=9,13.73%,IF($C16=10,15.67%,IF($C16=11,17.71%,IF($C16=12,19.86%,IF($C16=13,22.1%,IF($C16=14,24.45%,IF($C16=15,26.92%,IF($C16=16,30.57%,IF($C16=17,34.23%,IF($C16=18,37.88%,IF($C16=19,41.54%,IF($C16=20,45.19%,IF($C16=21,48.84%,IF($C16=22,52.5%,IF($C16=23,56.15%,IF($C16=24,59.81%,IF($C16=25,63.46%,IF($C16=26,67.11%,IF($C16=27,70.77%,IF($C16=28,74.42%,IF($C16=29,78.08%,IF($C16=30,81.73%,IF($C16=31,85.38%,IF($C16=32,89.04%,IF($C16=33,92.69%,IF($C16=34,96.35%,IF($C16&gt;34,100%,0)))))))))))))))))))))))))))))))))))</f>
        <v>0</v>
      </c>
      <c r="P16" s="205">
        <f>+N16*O16</f>
        <v>0</v>
      </c>
    </row>
    <row r="17" spans="1:16" ht="11.25" hidden="1" x14ac:dyDescent="0.2">
      <c r="A17" s="2"/>
      <c r="B17" s="206" t="s">
        <v>193</v>
      </c>
      <c r="C17" s="207">
        <f>IF((C9*365.25)+(D9*30.4375)+(E9)&gt;0,+((((+C6*365.25)+(D6*30.4375)+E6)/365.25)+(((+C5*365.25)+(D5*30.4375)+E5)/365.25)+(((+C7*365.25)+(D7*30.4375)+E7)/365.25)+(((+C8*365.25)+(D8*30.4375)+E8)/365.25)+(((+C9*365.25)+(D9*30.4375)+E9)/365.25)),0)</f>
        <v>0</v>
      </c>
      <c r="D17" s="208"/>
      <c r="E17" s="209"/>
      <c r="P17" s="205"/>
    </row>
    <row r="18" spans="1:16" ht="11.25" hidden="1" x14ac:dyDescent="0.2">
      <c r="A18" s="2"/>
      <c r="B18" s="206"/>
      <c r="C18" s="210">
        <f>(+C17-C19)*365.25</f>
        <v>0</v>
      </c>
      <c r="D18" s="211">
        <f>+C18/30.4275</f>
        <v>0</v>
      </c>
      <c r="E18" s="211">
        <f>+D18-D19</f>
        <v>0</v>
      </c>
      <c r="P18" s="205"/>
    </row>
    <row r="19" spans="1:16" ht="12.75" hidden="1" x14ac:dyDescent="0.2">
      <c r="A19" s="2"/>
      <c r="B19" s="212" t="s">
        <v>195</v>
      </c>
      <c r="C19" s="213">
        <f>INT(+C17)</f>
        <v>0</v>
      </c>
      <c r="D19" s="213">
        <f>INT(+C18/30.4375)</f>
        <v>0</v>
      </c>
      <c r="E19" s="213">
        <f>INT(+E18*30.4375)</f>
        <v>0</v>
      </c>
      <c r="N19" s="203">
        <f>IF(C14&gt;0,F9-F10,F9)</f>
        <v>23869.85</v>
      </c>
      <c r="O19" s="204">
        <f>IF($C19=1,1.24%,IF($C19=2,2.55%,IF($C19=3,3.88%,IF($C19=4,5.31%,IF($C19=5,6.83%,IF($C19=6,8.43%,IF($C19=7,10.11%,IF($C19=8,11.88%,IF($C19=9,13.73%,IF($C19=10,15.67%,IF($C19=11,17.71%,IF($C19=12,19.86%,IF($C19=13,22.1%,IF($C19=14,24.45%,IF($C19=15,26.92%,IF($C19=16,30.57%,IF($C19=17,34.23%,IF($C19=18,37.88%,IF($C19=19,41.54%,IF($C19=20,45.19%,IF($C19=21,48.84%,IF($C19=22,52.5%,IF($C19=23,56.15%,IF($C19=24,59.81%,IF($C19=25,63.46%,IF($C19=26,67.11%,IF($C19=27,70.77%,IF($C19=28,74.42%,IF($C19=29,78.08%,IF($C19=30,81.73%,IF($C19=31,85.38%,IF($C19=32,89.04%,IF($C19=33,92.69%,IF($C19=34,96.35%,IF($C19&gt;34,100%,0)))))))))))))))))))))))))))))))))))</f>
        <v>0</v>
      </c>
      <c r="P19" s="205">
        <f>+N19*O19</f>
        <v>0</v>
      </c>
    </row>
    <row r="20" spans="1:16" ht="11.25" hidden="1" x14ac:dyDescent="0.2">
      <c r="A20" s="2"/>
      <c r="B20" s="214" t="s">
        <v>193</v>
      </c>
      <c r="C20" s="215">
        <f>IF((C8*365.25)+(D8*30.4375)+(E8)&gt;0,+((((+C6*365.25)+(D6*30.4375)+E6)/365.25)+(((+C5*365.25)+(D5*30.4375)+E5)/365.25)+(((+C7*365.25)+(D7*30.4375)+E7)/365.25)+(((+C8*365.25)+(D8*30.4375)+E8)/365.25)),0)</f>
        <v>0</v>
      </c>
      <c r="D20" s="216"/>
      <c r="E20" s="217"/>
      <c r="P20" s="205"/>
    </row>
    <row r="21" spans="1:16" ht="11.25" hidden="1" x14ac:dyDescent="0.2">
      <c r="A21" s="2"/>
      <c r="B21" s="214"/>
      <c r="C21" s="218">
        <f>(+C20-C22)*365.25</f>
        <v>0</v>
      </c>
      <c r="D21" s="219">
        <f>+C21/30.4275</f>
        <v>0</v>
      </c>
      <c r="E21" s="219">
        <f>+D21-D22</f>
        <v>0</v>
      </c>
      <c r="P21" s="205"/>
    </row>
    <row r="22" spans="1:16" ht="12.75" hidden="1" x14ac:dyDescent="0.2">
      <c r="A22" s="2"/>
      <c r="B22" s="220" t="s">
        <v>196</v>
      </c>
      <c r="C22" s="221">
        <f>INT(+C20)</f>
        <v>0</v>
      </c>
      <c r="D22" s="221">
        <f>INT(+C21/30.4375)</f>
        <v>0</v>
      </c>
      <c r="E22" s="221">
        <f>INT(+E21*30.4375)</f>
        <v>0</v>
      </c>
      <c r="N22" s="203">
        <f>IF(C17&gt;0,F8-F9,IF(C14&gt;0,F8-F10,F8))</f>
        <v>30170.49</v>
      </c>
      <c r="O22" s="204">
        <f>IF($C22=1,1.24%,IF($C22=2,2.55%,IF($C22=3,3.88%,IF($C22=4,5.31%,IF($C22=5,6.83%,IF($C22=6,8.43%,IF($C22=7,10.11%,IF($C22=8,11.88%,IF($C22=9,13.73%,IF($C22=10,15.67%,IF($C22=11,17.71%,IF($C22=12,19.86%,IF($C22=13,22.1%,IF($C22=14,24.45%,IF($C22=15,26.92%,IF($C22=16,30.57%,IF($C22=17,34.23%,IF($C22=18,37.88%,IF($C22=19,41.54%,IF($C22=20,45.19%,IF($C22=21,48.84%,IF($C22=22,52.5%,IF($C22=23,56.15%,IF($C22=24,59.81%,IF($C22=25,63.46%,IF($C22=26,67.11%,IF($C22=27,70.77%,IF($C22=28,74.42%,IF($C22=29,78.08%,IF($C22=30,81.73%,IF($C22=31,85.38%,IF($C22=32,89.04%,IF($C22=33,92.69%,IF($C22=34,96.35%,IF($C22&gt;34,100%,0)))))))))))))))))))))))))))))))))))</f>
        <v>0</v>
      </c>
      <c r="P22" s="205">
        <f>+N22*O22</f>
        <v>0</v>
      </c>
    </row>
    <row r="23" spans="1:16" ht="12.75" hidden="1" x14ac:dyDescent="0.2">
      <c r="A23" s="2"/>
      <c r="B23" s="222" t="s">
        <v>193</v>
      </c>
      <c r="C23" s="223">
        <f>IF((C7*365.25)+(D7*30.4375)+(E7)&gt;0,+((((+C6*365.25)+(D6*30.4375)+E6)/365.25)+(((+C5*365.25)+(D5*30.4375)+E5)/365.25)+(((+C7*365.25)+(D7*30.4375)+E7)/365.25)),0)</f>
        <v>0</v>
      </c>
      <c r="D23" s="224"/>
      <c r="E23" s="225"/>
      <c r="N23" s="194"/>
      <c r="P23" s="205"/>
    </row>
    <row r="24" spans="1:16" ht="12.75" hidden="1" x14ac:dyDescent="0.2">
      <c r="A24" s="2"/>
      <c r="B24" s="222"/>
      <c r="C24" s="226">
        <f>(+C23-C25)*365.25</f>
        <v>0</v>
      </c>
      <c r="D24" s="227">
        <f>+C24/30.4275</f>
        <v>0</v>
      </c>
      <c r="E24" s="227">
        <f>+D24-D25</f>
        <v>0</v>
      </c>
      <c r="N24" s="194"/>
      <c r="P24" s="205"/>
    </row>
    <row r="25" spans="1:16" ht="12.75" hidden="1" x14ac:dyDescent="0.2">
      <c r="A25" s="2"/>
      <c r="B25" s="228" t="s">
        <v>197</v>
      </c>
      <c r="C25" s="229">
        <f>INT(+C23)</f>
        <v>0</v>
      </c>
      <c r="D25" s="229">
        <f>INT(+C24/30.4375)</f>
        <v>0</v>
      </c>
      <c r="E25" s="229">
        <f>INT(+E24*30.4375)</f>
        <v>0</v>
      </c>
      <c r="N25" s="203">
        <f>IF(C20&gt;0,F7-F8,IF(C17&gt;0,F7-F9,IF(C14&gt;0,F7-F10,F7)))</f>
        <v>34399.18</v>
      </c>
      <c r="O25" s="204">
        <f>IF($C25=1,1.24%,IF($C25=2,2.55%,IF($C25=3,3.88%,IF($C25=4,5.31%,IF($C25=5,6.83%,IF($C25=6,8.43%,IF($C25=7,10.11%,IF($C25=8,11.88%,IF($C25=9,13.73%,IF($C25=10,15.67%,IF($C25=11,17.71%,IF($C25=12,19.86%,IF($C25=13,22.1%,IF($C25=14,24.45%,IF($C25=15,26.92%,IF($C25=16,30.57%,IF($C25=17,34.23%,IF($C25=18,37.88%,IF($C25=19,41.54%,IF($C25=20,45.19%,IF($C25=21,48.84%,IF($C25=22,52.5%,IF($C25=23,56.15%,IF($C25=24,59.81%,IF($C25=25,63.46%,IF($C25=26,67.11%,IF($C25=27,70.77%,IF($C25=28,74.42%,IF($C25=29,78.08%,IF($C25=30,81.73%,IF($C25=31,85.38%,IF($C25=32,89.04%,IF($C25=33,92.69%,IF($C25=34,96.35%,IF($C25&gt;34,100%,0)))))))))))))))))))))))))))))))))))</f>
        <v>0</v>
      </c>
      <c r="P25" s="205">
        <f>+N25*O25</f>
        <v>0</v>
      </c>
    </row>
    <row r="26" spans="1:16" ht="11.25" hidden="1" x14ac:dyDescent="0.2">
      <c r="A26" s="2"/>
      <c r="B26" s="230" t="s">
        <v>193</v>
      </c>
      <c r="C26" s="231">
        <f>IF((C6*365.25)+(D6*30.4375)+(E6)&gt;0,+((((+C6*365.25)+(D6*30.4375)+E6)/365.25)+(((+C5*365.25)+(D5*30.4375)+E5)/365.25)),0)</f>
        <v>30</v>
      </c>
      <c r="D26" s="232"/>
      <c r="E26" s="233"/>
      <c r="P26" s="205"/>
    </row>
    <row r="27" spans="1:16" ht="11.25" hidden="1" x14ac:dyDescent="0.2">
      <c r="A27" s="2"/>
      <c r="B27" s="230"/>
      <c r="C27" s="234">
        <f>(+C26-C28)*365.25</f>
        <v>0</v>
      </c>
      <c r="D27" s="235">
        <f>+C27/30.4275</f>
        <v>0</v>
      </c>
      <c r="E27" s="235">
        <f>+D27-D28</f>
        <v>0</v>
      </c>
      <c r="P27" s="205"/>
    </row>
    <row r="28" spans="1:16" ht="12.75" hidden="1" x14ac:dyDescent="0.2">
      <c r="A28" s="2"/>
      <c r="B28" s="236" t="s">
        <v>198</v>
      </c>
      <c r="C28" s="237">
        <f>INT(+C26)</f>
        <v>30</v>
      </c>
      <c r="D28" s="237">
        <f>INT(+C27/30.4375)</f>
        <v>0</v>
      </c>
      <c r="E28" s="237">
        <f>INT(+E27*30.4375)</f>
        <v>0</v>
      </c>
      <c r="N28" s="203">
        <f>IF(C23&gt;0,F6-F7,IF(C20&gt;0,F6-F8,IF(C17&gt;0,F6-F9,IF(C14&gt;0,F6-F10,F6))))</f>
        <v>39283.61</v>
      </c>
      <c r="O28" s="204">
        <f>IF($C28=1,1.24%,IF($C28=2,2.55%,IF($C28=3,3.88%,IF($C28=4,5.31%,IF($C28=5,6.83%,IF($C28=6,8.43%,IF($C28=7,10.11%,IF($C28=8,11.88%,IF($C28=9,13.73%,IF($C28=10,15.67%,IF($C28=11,17.71%,IF($C28=12,19.86%,IF($C28=13,22.1%,IF($C28=14,24.45%,IF($C28=15,26.92%,IF($C28=16,30.57%,IF($C28=17,34.23%,IF($C28=18,37.88%,IF($C28=19,41.54%,IF($C28=20,45.19%,IF($C28=21,48.84%,IF($C28=22,52.5%,IF($C28=23,56.15%,IF($C28=24,59.81%,IF($C28=25,63.46%,IF($C28=26,67.11%,IF($C28=27,70.77%,IF($C28=28,74.42%,IF($C28=29,78.08%,IF($C28=30,81.73%,IF($C28=31,85.38%,IF($C28=32,89.04%,IF($C28=33,92.69%,IF($C28=34,96.35%,IF($C28&gt;34,100%,0)))))))))))))))))))))))))))))))))))</f>
        <v>0.81730000000000003</v>
      </c>
      <c r="P28" s="205">
        <f>+N28*O28</f>
        <v>32106.494453000003</v>
      </c>
    </row>
    <row r="29" spans="1:16" ht="12.75" hidden="1" x14ac:dyDescent="0.2">
      <c r="A29" s="2"/>
      <c r="B29" s="238"/>
      <c r="C29" s="239">
        <f>IF((C5*365.25)+(D5*30.4375)+(E5)&gt;0,+((((+C5*365.25)+(D5*30.4375)+E5)/365.25)),0)</f>
        <v>0</v>
      </c>
      <c r="D29" s="240"/>
      <c r="E29" s="241"/>
      <c r="N29" s="203"/>
      <c r="P29" s="205"/>
    </row>
    <row r="30" spans="1:16" ht="12.75" hidden="1" x14ac:dyDescent="0.2">
      <c r="A30" s="2"/>
      <c r="B30" s="238"/>
      <c r="C30" s="242">
        <f>(+C29-C31)*365.25</f>
        <v>0</v>
      </c>
      <c r="D30" s="243">
        <f>+C30/30.4275</f>
        <v>0</v>
      </c>
      <c r="E30" s="243">
        <f>+D30-D31</f>
        <v>0</v>
      </c>
      <c r="N30" s="203"/>
      <c r="P30" s="205"/>
    </row>
    <row r="31" spans="1:16" ht="12.75" hidden="1" x14ac:dyDescent="0.2">
      <c r="A31" s="2"/>
      <c r="B31" s="238" t="s">
        <v>199</v>
      </c>
      <c r="C31" s="244">
        <f>INT(+C29)</f>
        <v>0</v>
      </c>
      <c r="D31" s="244">
        <f>INT(+C30/30.4375)</f>
        <v>0</v>
      </c>
      <c r="E31" s="244">
        <f>INT(+E30*30.4375)</f>
        <v>0</v>
      </c>
      <c r="N31" s="203">
        <f>IF(C26&gt;0,F5-F6,IF(C23&gt;0,F5-F7,IF(C20&gt;0,F5-F8,IF(C17&gt;0,F5-F9,IF(C14&gt;0,F5-F10,F5)))))</f>
        <v>10630.449999999997</v>
      </c>
      <c r="O31" s="204">
        <f>IF($C31=1,1.24%,IF($C31=2,2.55%,IF($C31=3,3.88%,IF($C31=4,5.31%,IF($C31=5,6.83%,IF($C31=6,8.43%,IF($C31=7,10.11%,IF($C31=8,11.88%,IF($C31=9,13.73%,IF($C31=10,15.67%,IF($C31=11,17.71%,IF($C31=12,19.86%,IF($C31=13,22.1%,IF($C31=14,24.45%,IF($C31=15,26.92%,IF($C31=16,30.57%,IF($C31=17,34.23%,IF($C31=18,37.88%,IF($C31=19,41.54%,IF($C31=20,45.19%,IF($C31=21,48.84%,IF($C31=22,52.5%,IF($C31=23,56.15%,IF($C31=24,59.81%,IF($C31=25,63.46%,IF($C31=26,67.11%,IF($C31=27,70.77%,IF($C31=28,74.42%,IF($C31=29,78.08%,IF($C31=30,81.73%,IF($C31=31,85.38%,IF($C31=32,89.04%,IF($C31=33,92.69%,IF($C31=34,96.35%,IF($C31&gt;34,100%,0)))))))))))))))))))))))))))))))))))</f>
        <v>0</v>
      </c>
      <c r="P31" s="205">
        <f>+N31*O31</f>
        <v>0</v>
      </c>
    </row>
    <row r="32" spans="1:16" ht="11.25" hidden="1" x14ac:dyDescent="0.2">
      <c r="A32" s="2"/>
      <c r="B32" s="238"/>
      <c r="C32" s="245"/>
      <c r="D32" s="245"/>
      <c r="E32" s="245"/>
      <c r="F32" s="2"/>
      <c r="L32" s="205"/>
    </row>
    <row r="33" spans="2:10" ht="11.25" hidden="1" x14ac:dyDescent="0.2"/>
    <row r="34" spans="2:10" ht="11.25" hidden="1" x14ac:dyDescent="0.2"/>
    <row r="35" spans="2:10" ht="11.25" hidden="1" x14ac:dyDescent="0.2"/>
    <row r="36" spans="2:10" ht="28.5" hidden="1" customHeight="1" x14ac:dyDescent="0.2">
      <c r="B36" s="274" t="s">
        <v>436</v>
      </c>
      <c r="C36" s="510" t="s">
        <v>202</v>
      </c>
      <c r="D36" s="506"/>
      <c r="E36" s="510" t="s">
        <v>203</v>
      </c>
      <c r="F36" s="506"/>
    </row>
    <row r="37" spans="2:10" ht="15.75" hidden="1" x14ac:dyDescent="0.2">
      <c r="B37" s="251" t="s">
        <v>204</v>
      </c>
      <c r="C37" s="511">
        <f>+E37/14</f>
        <v>2293.3210323571429</v>
      </c>
      <c r="D37" s="499"/>
      <c r="E37" s="511">
        <f>IF((P31+P28+P25+P22+P19+P16)&gt;F11,F11,(+P31+P28+P25+P22+P19+P16))</f>
        <v>32106.494453000003</v>
      </c>
      <c r="F37" s="499"/>
    </row>
    <row r="38" spans="2:10" ht="15.75" hidden="1" x14ac:dyDescent="0.2">
      <c r="B38" s="251" t="s">
        <v>420</v>
      </c>
      <c r="C38" s="500">
        <f>+E38/14</f>
        <v>0</v>
      </c>
      <c r="D38" s="501"/>
      <c r="E38" s="500">
        <f>+C48</f>
        <v>0</v>
      </c>
      <c r="F38" s="501"/>
      <c r="G38" s="267" t="str">
        <f>IF(C38&gt;G11-0.001,"  Pensión Máxima"," ")</f>
        <v xml:space="preserve"> </v>
      </c>
      <c r="H38" s="253"/>
      <c r="I38" s="253"/>
      <c r="J38" s="253"/>
    </row>
    <row r="39" spans="2:10" ht="15.75" hidden="1" x14ac:dyDescent="0.2">
      <c r="C39" s="512"/>
      <c r="D39" s="513"/>
      <c r="E39" s="511">
        <f>+E37+E38</f>
        <v>32106.494453000003</v>
      </c>
      <c r="F39" s="499"/>
      <c r="G39" s="252"/>
      <c r="H39" s="252"/>
      <c r="I39" s="253"/>
      <c r="J39" s="253"/>
    </row>
    <row r="40" spans="2:10" ht="15.75" hidden="1" x14ac:dyDescent="0.2">
      <c r="B40" s="252"/>
      <c r="C40" s="262"/>
      <c r="D40" s="266"/>
      <c r="E40" s="511">
        <f>IF(E39&gt;F11,F11+((E39-F11)/2),E39)</f>
        <v>32106.494453000003</v>
      </c>
      <c r="F40" s="499"/>
      <c r="G40" s="252"/>
      <c r="H40" s="252"/>
      <c r="I40" s="253"/>
      <c r="J40" s="253"/>
    </row>
    <row r="41" spans="2:10" ht="15.75" hidden="1" x14ac:dyDescent="0.2">
      <c r="B41" s="264" t="s">
        <v>421</v>
      </c>
      <c r="C41" s="511">
        <f>+E41/14</f>
        <v>2293.3210323571429</v>
      </c>
      <c r="D41" s="499"/>
      <c r="E41" s="511">
        <f>+E40</f>
        <v>32106.494453000003</v>
      </c>
      <c r="F41" s="499"/>
      <c r="G41" s="265" t="str">
        <f>IF(E41&gt;F11,"  Mujer por jubilación forzosa o incapacidad puede pasar de la pensión máxima","")</f>
        <v/>
      </c>
      <c r="H41" s="252"/>
      <c r="I41" s="253"/>
      <c r="J41" s="253"/>
    </row>
    <row r="42" spans="2:10" ht="11.25" hidden="1" customHeight="1" x14ac:dyDescent="0.2"/>
    <row r="43" spans="2:10" ht="11.25" hidden="1" customHeight="1" x14ac:dyDescent="0.2"/>
    <row r="44" spans="2:10" ht="12.95" hidden="1" customHeight="1" x14ac:dyDescent="0.2">
      <c r="B44" s="3" t="s">
        <v>420</v>
      </c>
      <c r="C44" s="3" t="str">
        <f>+Datos!E12</f>
        <v>Jubilación Anticipada (60 años y 30 años de Servicio)</v>
      </c>
    </row>
    <row r="45" spans="2:10" ht="12.95" hidden="1" customHeight="1" x14ac:dyDescent="0.2">
      <c r="C45" s="88" t="str">
        <f>+Datos!E20</f>
        <v>Mujer</v>
      </c>
    </row>
    <row r="46" spans="2:10" ht="12.95" hidden="1" customHeight="1" x14ac:dyDescent="0.2">
      <c r="C46" s="88">
        <f>IF(+Datos!F22=1,1,IF(+Datos!F22=2,2,IF(+Datos!F22=3,3,IF(+Datos!F22&gt;3,4,0))))</f>
        <v>2</v>
      </c>
    </row>
    <row r="47" spans="2:10" ht="12.95" hidden="1" customHeight="1" x14ac:dyDescent="0.2">
      <c r="C47" s="389">
        <f>IF(AND(C45="Mujer",OR(C44=B49,C44=B50,C44=B51)),C46*C53,0)</f>
        <v>0</v>
      </c>
      <c r="D47" s="263"/>
    </row>
    <row r="48" spans="2:10" ht="12.95" hidden="1" customHeight="1" x14ac:dyDescent="0.2">
      <c r="C48" s="390">
        <f>+C47*14</f>
        <v>0</v>
      </c>
    </row>
    <row r="49" spans="2:16" ht="12.95" hidden="1" customHeight="1" x14ac:dyDescent="0.2">
      <c r="B49" s="2" t="s">
        <v>81</v>
      </c>
    </row>
    <row r="50" spans="2:16" ht="12.95" hidden="1" customHeight="1" x14ac:dyDescent="0.2">
      <c r="B50" s="2" t="s">
        <v>13</v>
      </c>
    </row>
    <row r="51" spans="2:16" ht="11.25" hidden="1" x14ac:dyDescent="0.2">
      <c r="B51" s="2" t="s">
        <v>14</v>
      </c>
      <c r="C51" s="255"/>
      <c r="D51" s="255"/>
      <c r="E51" s="255"/>
      <c r="F51" s="255"/>
      <c r="G51" s="255"/>
      <c r="H51" s="255"/>
      <c r="I51" s="255"/>
      <c r="J51" s="255"/>
      <c r="K51" s="255"/>
      <c r="L51" s="255"/>
      <c r="M51" s="255"/>
      <c r="N51" s="255"/>
      <c r="O51" s="255"/>
      <c r="P51" s="255"/>
    </row>
    <row r="52" spans="2:16" ht="11.25" hidden="1" x14ac:dyDescent="0.2">
      <c r="B52" s="255"/>
      <c r="C52" s="255"/>
      <c r="D52" s="255"/>
      <c r="E52" s="255"/>
      <c r="F52" s="255"/>
      <c r="G52" s="255"/>
      <c r="H52" s="255"/>
      <c r="I52" s="255"/>
      <c r="J52" s="255"/>
      <c r="K52" s="255"/>
      <c r="L52" s="255"/>
      <c r="M52" s="255"/>
      <c r="N52" s="255"/>
      <c r="O52" s="255"/>
      <c r="P52" s="255"/>
    </row>
    <row r="53" spans="2:16" ht="11.25" hidden="1" x14ac:dyDescent="0.2">
      <c r="B53" s="359" t="s">
        <v>369</v>
      </c>
      <c r="C53" s="391">
        <f>+'Haber Regulador'!I46</f>
        <v>31.555199999999999</v>
      </c>
      <c r="D53" s="255"/>
      <c r="E53" s="255"/>
      <c r="F53" s="255"/>
      <c r="G53" s="255"/>
      <c r="H53" s="255"/>
      <c r="I53" s="255"/>
      <c r="J53" s="255"/>
      <c r="K53" s="255"/>
      <c r="L53" s="255"/>
      <c r="M53" s="255"/>
      <c r="N53" s="255"/>
      <c r="O53" s="255"/>
      <c r="P53" s="255"/>
    </row>
    <row r="54" spans="2:16" ht="11.25" hidden="1" x14ac:dyDescent="0.2">
      <c r="B54" s="359"/>
      <c r="C54" s="255"/>
      <c r="D54" s="255"/>
      <c r="E54" s="255"/>
      <c r="F54" s="255"/>
      <c r="G54" s="255"/>
      <c r="H54" s="255"/>
      <c r="I54" s="255"/>
      <c r="J54" s="255"/>
      <c r="K54" s="255"/>
      <c r="L54" s="255"/>
      <c r="M54" s="255"/>
      <c r="N54" s="255"/>
      <c r="O54" s="255"/>
      <c r="P54" s="255"/>
    </row>
    <row r="55" spans="2:16" ht="11.25" hidden="1" x14ac:dyDescent="0.2">
      <c r="B55" s="359"/>
      <c r="C55" s="255"/>
      <c r="D55" s="255"/>
      <c r="E55" s="255"/>
      <c r="F55" s="255"/>
      <c r="G55" s="255"/>
      <c r="H55" s="255"/>
      <c r="I55" s="255"/>
      <c r="J55" s="255"/>
      <c r="K55" s="255"/>
      <c r="L55" s="255"/>
      <c r="M55" s="255"/>
      <c r="N55" s="255"/>
      <c r="O55" s="255"/>
      <c r="P55" s="255"/>
    </row>
    <row r="56" spans="2:16" ht="11.25" hidden="1" x14ac:dyDescent="0.2">
      <c r="B56" s="359"/>
      <c r="C56" s="255"/>
      <c r="D56" s="255"/>
      <c r="E56" s="255"/>
      <c r="F56" s="255"/>
      <c r="G56" s="255"/>
      <c r="H56" s="255"/>
      <c r="I56" s="255"/>
      <c r="J56" s="255"/>
      <c r="K56" s="255"/>
      <c r="L56" s="255"/>
      <c r="M56" s="255"/>
      <c r="N56" s="255"/>
      <c r="O56" s="255"/>
      <c r="P56" s="255"/>
    </row>
    <row r="57" spans="2:16" ht="11.25" hidden="1" x14ac:dyDescent="0.2">
      <c r="B57" s="255"/>
      <c r="C57" s="255"/>
      <c r="D57" s="255"/>
      <c r="E57" s="255"/>
      <c r="F57" s="255"/>
      <c r="G57" s="255"/>
      <c r="H57" s="255"/>
      <c r="I57" s="255"/>
      <c r="J57" s="255"/>
      <c r="K57" s="255"/>
      <c r="L57" s="255"/>
      <c r="M57" s="255"/>
      <c r="N57" s="255"/>
      <c r="O57" s="255"/>
      <c r="P57" s="255"/>
    </row>
    <row r="58" spans="2:16" ht="11.25" hidden="1" x14ac:dyDescent="0.2">
      <c r="B58" s="255"/>
      <c r="C58" s="255"/>
      <c r="D58" s="255"/>
      <c r="E58" s="255"/>
      <c r="F58" s="255"/>
      <c r="G58" s="255"/>
      <c r="H58" s="255"/>
      <c r="I58" s="255"/>
      <c r="J58" s="255"/>
      <c r="K58" s="255"/>
      <c r="L58" s="255"/>
      <c r="M58" s="255"/>
      <c r="N58" s="255"/>
      <c r="O58" s="255"/>
      <c r="P58" s="255"/>
    </row>
    <row r="59" spans="2:16" ht="11.25" hidden="1" x14ac:dyDescent="0.2">
      <c r="C59" s="186" t="s">
        <v>8</v>
      </c>
      <c r="D59" s="186" t="s">
        <v>6</v>
      </c>
      <c r="E59" s="186" t="s">
        <v>7</v>
      </c>
      <c r="F59" s="186" t="s">
        <v>8</v>
      </c>
    </row>
    <row r="60" spans="2:16" ht="11.25" hidden="1" x14ac:dyDescent="0.2">
      <c r="B60" s="3" t="s">
        <v>205</v>
      </c>
      <c r="C60" s="254">
        <v>443</v>
      </c>
      <c r="D60" s="186">
        <f t="shared" ref="D60" si="4">INT(+C60/365.25)</f>
        <v>1</v>
      </c>
      <c r="E60" s="186">
        <f t="shared" ref="E60" si="5">INT((+C60/365.25-D60)*12)</f>
        <v>2</v>
      </c>
      <c r="F60" s="186">
        <f t="shared" ref="F60" si="6">INT((((+C60/365.25-D60)*12)-E60)*30)</f>
        <v>16</v>
      </c>
      <c r="M60" s="205"/>
    </row>
    <row r="61" spans="2:16" ht="12" hidden="1" thickBot="1" x14ac:dyDescent="0.25">
      <c r="B61" s="3" t="s">
        <v>206</v>
      </c>
      <c r="C61" s="256">
        <f>INT(+(D61*365.25)+(E61*30.4275)+F61)+1</f>
        <v>1629</v>
      </c>
      <c r="D61" s="257">
        <v>4</v>
      </c>
      <c r="E61" s="257">
        <v>5</v>
      </c>
      <c r="F61" s="258">
        <v>15</v>
      </c>
      <c r="M61" s="159"/>
    </row>
    <row r="62" spans="2:16" ht="11.25" hidden="1" x14ac:dyDescent="0.2">
      <c r="B62" s="255"/>
      <c r="C62" s="255"/>
      <c r="D62" s="255"/>
      <c r="E62" s="255"/>
      <c r="F62" s="255"/>
      <c r="G62" s="255"/>
      <c r="H62" s="255"/>
      <c r="I62" s="255"/>
      <c r="J62" s="255"/>
      <c r="K62" s="255"/>
      <c r="L62" s="255"/>
      <c r="M62" s="255"/>
      <c r="N62" s="255"/>
      <c r="O62" s="255"/>
      <c r="P62" s="255"/>
    </row>
    <row r="63" spans="2:16" ht="11.25" hidden="1" x14ac:dyDescent="0.2">
      <c r="B63" s="255"/>
      <c r="C63" s="255"/>
      <c r="D63" s="255"/>
      <c r="E63" s="255"/>
      <c r="F63" s="255"/>
      <c r="G63" s="255"/>
      <c r="H63" s="255"/>
      <c r="I63" s="255"/>
      <c r="J63" s="255"/>
      <c r="K63" s="255"/>
      <c r="L63" s="255"/>
      <c r="M63" s="255"/>
      <c r="N63" s="255"/>
      <c r="O63" s="255"/>
      <c r="P63" s="255"/>
    </row>
    <row r="64" spans="2:16" ht="11.25" hidden="1" x14ac:dyDescent="0.2">
      <c r="B64" s="255"/>
      <c r="C64" s="255"/>
      <c r="D64" s="255"/>
      <c r="E64" s="255"/>
      <c r="F64" s="255"/>
      <c r="G64" s="255"/>
      <c r="H64" s="255"/>
      <c r="I64" s="255"/>
      <c r="J64" s="255"/>
      <c r="K64" s="255"/>
      <c r="L64" s="255"/>
      <c r="M64" s="255"/>
      <c r="N64" s="255"/>
      <c r="O64" s="255"/>
      <c r="P64" s="255"/>
    </row>
    <row r="65" spans="2:16" ht="11.25" hidden="1" x14ac:dyDescent="0.2">
      <c r="B65" s="255"/>
      <c r="C65" s="255"/>
      <c r="D65" s="255"/>
      <c r="E65" s="255"/>
      <c r="F65" s="255"/>
      <c r="G65" s="255"/>
      <c r="H65" s="255"/>
      <c r="I65" s="255"/>
      <c r="J65" s="255"/>
      <c r="K65" s="255"/>
      <c r="L65" s="255"/>
      <c r="M65" s="255"/>
      <c r="N65" s="255"/>
      <c r="O65" s="255"/>
      <c r="P65" s="255"/>
    </row>
    <row r="66" spans="2:16" ht="11.25" hidden="1" x14ac:dyDescent="0.2">
      <c r="B66" s="255"/>
      <c r="C66" s="255"/>
      <c r="D66" s="255"/>
      <c r="E66" s="255"/>
      <c r="F66" s="255"/>
      <c r="G66" s="255"/>
      <c r="H66" s="255"/>
      <c r="I66" s="255"/>
      <c r="J66" s="255"/>
      <c r="K66" s="255"/>
      <c r="L66" s="255"/>
      <c r="M66" s="255"/>
      <c r="N66" s="255"/>
      <c r="O66" s="255"/>
      <c r="P66" s="255"/>
    </row>
    <row r="67" spans="2:16" ht="11.25" hidden="1" x14ac:dyDescent="0.2">
      <c r="B67" s="255"/>
      <c r="C67" s="255"/>
      <c r="D67" s="255"/>
      <c r="E67" s="255"/>
      <c r="F67" s="255"/>
      <c r="G67" s="255"/>
      <c r="H67" s="255"/>
      <c r="I67" s="255"/>
      <c r="J67" s="255"/>
      <c r="K67" s="255"/>
      <c r="L67" s="255"/>
      <c r="M67" s="255"/>
      <c r="N67" s="255"/>
      <c r="O67" s="255"/>
      <c r="P67" s="255"/>
    </row>
    <row r="68" spans="2:16" ht="11.25" hidden="1" x14ac:dyDescent="0.2">
      <c r="B68" s="255"/>
      <c r="C68" s="255"/>
      <c r="D68" s="255"/>
      <c r="E68" s="255"/>
      <c r="F68" s="255"/>
      <c r="G68" s="255"/>
      <c r="H68" s="255"/>
      <c r="I68" s="255"/>
      <c r="J68" s="255"/>
      <c r="K68" s="255"/>
      <c r="L68" s="255"/>
      <c r="M68" s="255"/>
      <c r="N68" s="255"/>
      <c r="O68" s="255"/>
      <c r="P68" s="255"/>
    </row>
    <row r="69" spans="2:16" ht="11.25" hidden="1" x14ac:dyDescent="0.2">
      <c r="B69" s="255"/>
      <c r="C69" s="255"/>
      <c r="D69" s="255"/>
      <c r="E69" s="255"/>
      <c r="F69" s="255"/>
      <c r="G69" s="255"/>
      <c r="H69" s="255"/>
      <c r="I69" s="255"/>
      <c r="J69" s="255"/>
      <c r="K69" s="255"/>
      <c r="L69" s="255"/>
      <c r="M69" s="255"/>
      <c r="N69" s="255"/>
      <c r="O69" s="255"/>
      <c r="P69" s="255"/>
    </row>
    <row r="70" spans="2:16" ht="11.25" hidden="1" x14ac:dyDescent="0.2">
      <c r="B70" s="255"/>
      <c r="C70" s="255"/>
      <c r="D70" s="255"/>
      <c r="E70" s="255"/>
      <c r="F70" s="255"/>
      <c r="G70" s="255"/>
      <c r="H70" s="255"/>
      <c r="I70" s="255"/>
      <c r="J70" s="255"/>
      <c r="K70" s="255"/>
      <c r="L70" s="255"/>
      <c r="M70" s="255"/>
      <c r="N70" s="255"/>
      <c r="O70" s="255"/>
      <c r="P70" s="255"/>
    </row>
    <row r="71" spans="2:16" ht="11.25" hidden="1" x14ac:dyDescent="0.2">
      <c r="B71" s="255"/>
      <c r="C71" s="255"/>
      <c r="D71" s="255"/>
      <c r="E71" s="255"/>
      <c r="F71" s="255"/>
      <c r="G71" s="255"/>
      <c r="H71" s="255"/>
      <c r="I71" s="255"/>
      <c r="J71" s="255"/>
      <c r="K71" s="255"/>
      <c r="L71" s="255"/>
      <c r="M71" s="255"/>
      <c r="N71" s="255"/>
      <c r="O71" s="255"/>
      <c r="P71" s="255"/>
    </row>
    <row r="72" spans="2:16" ht="11.25" hidden="1" x14ac:dyDescent="0.2">
      <c r="B72" s="255"/>
      <c r="C72" s="255"/>
      <c r="D72" s="255"/>
      <c r="E72" s="255"/>
      <c r="F72" s="255"/>
      <c r="G72" s="255"/>
      <c r="H72" s="255"/>
      <c r="I72" s="255"/>
      <c r="J72" s="255"/>
      <c r="K72" s="255"/>
      <c r="L72" s="255"/>
      <c r="M72" s="255"/>
      <c r="N72" s="255"/>
      <c r="O72" s="255"/>
      <c r="P72" s="255"/>
    </row>
    <row r="73" spans="2:16" ht="11.25" hidden="1" x14ac:dyDescent="0.2">
      <c r="B73" s="255"/>
      <c r="C73" s="255"/>
      <c r="D73" s="255"/>
      <c r="E73" s="255"/>
      <c r="F73" s="255"/>
      <c r="G73" s="255"/>
      <c r="H73" s="255"/>
      <c r="I73" s="255"/>
      <c r="J73" s="255"/>
      <c r="K73" s="255"/>
      <c r="L73" s="255"/>
      <c r="M73" s="255"/>
      <c r="N73" s="255"/>
      <c r="O73" s="255"/>
      <c r="P73" s="255"/>
    </row>
    <row r="74" spans="2:16" ht="11.25" hidden="1" x14ac:dyDescent="0.2">
      <c r="B74" s="255"/>
      <c r="C74" s="255"/>
      <c r="D74" s="255"/>
      <c r="E74" s="255"/>
      <c r="F74" s="255"/>
      <c r="G74" s="255"/>
      <c r="H74" s="255"/>
      <c r="I74" s="255"/>
      <c r="J74" s="255"/>
      <c r="K74" s="255"/>
      <c r="L74" s="255"/>
      <c r="M74" s="255"/>
      <c r="N74" s="255"/>
      <c r="O74" s="255"/>
      <c r="P74" s="255"/>
    </row>
    <row r="75" spans="2:16" ht="11.25" hidden="1" x14ac:dyDescent="0.2">
      <c r="B75" s="255"/>
      <c r="C75" s="255"/>
      <c r="D75" s="255"/>
      <c r="E75" s="255"/>
      <c r="F75" s="255"/>
      <c r="G75" s="255"/>
      <c r="H75" s="255"/>
      <c r="I75" s="255"/>
      <c r="J75" s="255"/>
      <c r="K75" s="255"/>
      <c r="L75" s="255"/>
      <c r="M75" s="255"/>
      <c r="N75" s="255"/>
      <c r="O75" s="255"/>
      <c r="P75" s="255"/>
    </row>
    <row r="76" spans="2:16" ht="11.25" hidden="1" x14ac:dyDescent="0.2">
      <c r="B76" s="255"/>
      <c r="C76" s="255"/>
      <c r="D76" s="255"/>
      <c r="E76" s="255"/>
      <c r="F76" s="255"/>
      <c r="G76" s="255"/>
      <c r="H76" s="255"/>
      <c r="I76" s="255"/>
      <c r="J76" s="255"/>
      <c r="K76" s="255"/>
      <c r="L76" s="255"/>
      <c r="M76" s="255"/>
      <c r="N76" s="255"/>
      <c r="O76" s="255"/>
      <c r="P76" s="255"/>
    </row>
    <row r="77" spans="2:16" ht="11.25" hidden="1" x14ac:dyDescent="0.2">
      <c r="B77" s="255"/>
      <c r="C77" s="255"/>
      <c r="D77" s="255"/>
      <c r="E77" s="255"/>
      <c r="F77" s="255"/>
      <c r="G77" s="255"/>
      <c r="H77" s="255"/>
      <c r="I77" s="255"/>
      <c r="J77" s="255"/>
      <c r="K77" s="255"/>
      <c r="L77" s="255"/>
      <c r="M77" s="255"/>
      <c r="N77" s="255"/>
      <c r="O77" s="255"/>
      <c r="P77" s="255"/>
    </row>
    <row r="78" spans="2:16" ht="11.25" hidden="1" x14ac:dyDescent="0.2">
      <c r="B78" s="255"/>
      <c r="C78" s="255"/>
      <c r="D78" s="255"/>
      <c r="E78" s="255"/>
      <c r="F78" s="255"/>
      <c r="G78" s="255"/>
      <c r="H78" s="255"/>
      <c r="I78" s="255"/>
      <c r="J78" s="255"/>
      <c r="K78" s="255"/>
      <c r="L78" s="255"/>
      <c r="M78" s="255"/>
      <c r="N78" s="255"/>
      <c r="O78" s="255"/>
      <c r="P78" s="255"/>
    </row>
    <row r="79" spans="2:16" ht="11.25" hidden="1" x14ac:dyDescent="0.2">
      <c r="B79" s="255"/>
      <c r="C79" s="255"/>
      <c r="D79" s="255"/>
      <c r="E79" s="255"/>
      <c r="F79" s="255"/>
      <c r="G79" s="255"/>
      <c r="H79" s="255"/>
      <c r="I79" s="255"/>
      <c r="J79" s="255"/>
      <c r="K79" s="255"/>
      <c r="L79" s="255"/>
      <c r="M79" s="255"/>
      <c r="N79" s="255"/>
      <c r="O79" s="255"/>
      <c r="P79" s="255"/>
    </row>
    <row r="80" spans="2:16" ht="11.25" hidden="1" x14ac:dyDescent="0.2">
      <c r="B80" s="255"/>
      <c r="C80" s="255"/>
      <c r="D80" s="255"/>
      <c r="E80" s="255"/>
      <c r="F80" s="255"/>
      <c r="G80" s="255"/>
      <c r="H80" s="255"/>
      <c r="I80" s="255"/>
      <c r="J80" s="255"/>
      <c r="K80" s="255"/>
      <c r="L80" s="255"/>
      <c r="M80" s="255"/>
      <c r="N80" s="255"/>
      <c r="O80" s="255"/>
      <c r="P80" s="255"/>
    </row>
    <row r="81" spans="2:16" ht="11.25" hidden="1" x14ac:dyDescent="0.2">
      <c r="B81" s="255"/>
      <c r="C81" s="255"/>
      <c r="D81" s="255"/>
      <c r="E81" s="255"/>
      <c r="F81" s="255"/>
      <c r="G81" s="255"/>
      <c r="H81" s="255"/>
      <c r="I81" s="255"/>
      <c r="J81" s="255"/>
      <c r="K81" s="255"/>
      <c r="L81" s="255"/>
      <c r="M81" s="255"/>
      <c r="N81" s="255"/>
      <c r="O81" s="255"/>
      <c r="P81" s="255"/>
    </row>
    <row r="82" spans="2:16" ht="11.25" hidden="1" x14ac:dyDescent="0.2">
      <c r="B82" s="255"/>
      <c r="C82" s="255"/>
      <c r="D82" s="255"/>
      <c r="E82" s="255"/>
      <c r="F82" s="255"/>
      <c r="G82" s="255"/>
      <c r="H82" s="255"/>
      <c r="I82" s="255"/>
      <c r="J82" s="255"/>
      <c r="K82" s="255"/>
      <c r="L82" s="255"/>
      <c r="M82" s="255"/>
      <c r="N82" s="255"/>
      <c r="O82" s="255"/>
      <c r="P82" s="255"/>
    </row>
    <row r="83" spans="2:16" ht="11.25" hidden="1" x14ac:dyDescent="0.2">
      <c r="B83" s="255"/>
      <c r="C83" s="255"/>
      <c r="D83" s="255"/>
      <c r="E83" s="255"/>
      <c r="F83" s="255"/>
      <c r="G83" s="255"/>
      <c r="H83" s="255"/>
      <c r="I83" s="255"/>
      <c r="J83" s="255"/>
      <c r="K83" s="255"/>
      <c r="L83" s="255"/>
      <c r="M83" s="255"/>
      <c r="N83" s="255"/>
      <c r="O83" s="255"/>
      <c r="P83" s="255"/>
    </row>
    <row r="84" spans="2:16" ht="11.25" hidden="1" x14ac:dyDescent="0.2">
      <c r="B84" s="255"/>
      <c r="C84" s="255"/>
      <c r="D84" s="255"/>
      <c r="E84" s="255"/>
      <c r="F84" s="255"/>
      <c r="G84" s="255"/>
      <c r="H84" s="255"/>
      <c r="I84" s="255"/>
      <c r="J84" s="255"/>
      <c r="K84" s="255"/>
      <c r="L84" s="255"/>
      <c r="M84" s="255"/>
      <c r="N84" s="255"/>
      <c r="O84" s="255"/>
      <c r="P84" s="255"/>
    </row>
    <row r="85" spans="2:16" ht="11.25" hidden="1" x14ac:dyDescent="0.2">
      <c r="B85" s="255"/>
      <c r="C85" s="255"/>
      <c r="D85" s="255"/>
      <c r="E85" s="255"/>
      <c r="F85" s="255"/>
      <c r="G85" s="255"/>
      <c r="H85" s="255"/>
      <c r="I85" s="255"/>
      <c r="J85" s="255"/>
      <c r="K85" s="255"/>
      <c r="L85" s="255"/>
      <c r="M85" s="255"/>
      <c r="N85" s="255"/>
      <c r="O85" s="255"/>
      <c r="P85" s="255"/>
    </row>
    <row r="86" spans="2:16" ht="11.25" hidden="1" x14ac:dyDescent="0.2">
      <c r="B86" s="255"/>
      <c r="C86" s="255"/>
      <c r="D86" s="255"/>
      <c r="E86" s="255"/>
      <c r="F86" s="255"/>
      <c r="G86" s="255"/>
      <c r="H86" s="255"/>
      <c r="I86" s="255"/>
      <c r="J86" s="255"/>
      <c r="K86" s="255"/>
      <c r="L86" s="255"/>
      <c r="M86" s="255"/>
      <c r="N86" s="255"/>
      <c r="O86" s="255"/>
      <c r="P86" s="255"/>
    </row>
    <row r="87" spans="2:16" ht="11.25" hidden="1" x14ac:dyDescent="0.2">
      <c r="B87" s="255"/>
      <c r="C87" s="255"/>
      <c r="D87" s="255"/>
      <c r="E87" s="255"/>
      <c r="F87" s="255"/>
      <c r="G87" s="255"/>
      <c r="H87" s="255"/>
      <c r="I87" s="255"/>
      <c r="J87" s="255"/>
      <c r="K87" s="255"/>
      <c r="L87" s="255"/>
      <c r="M87" s="255"/>
      <c r="N87" s="255"/>
      <c r="O87" s="255"/>
      <c r="P87" s="255"/>
    </row>
    <row r="88" spans="2:16" ht="11.25" hidden="1" x14ac:dyDescent="0.2">
      <c r="B88" s="255"/>
      <c r="C88" s="255"/>
      <c r="D88" s="255"/>
      <c r="E88" s="255"/>
      <c r="F88" s="255"/>
      <c r="G88" s="255"/>
      <c r="H88" s="255"/>
      <c r="I88" s="255"/>
      <c r="J88" s="255"/>
      <c r="K88" s="255"/>
      <c r="L88" s="255"/>
      <c r="M88" s="255"/>
      <c r="N88" s="255"/>
      <c r="O88" s="255"/>
      <c r="P88" s="255"/>
    </row>
    <row r="89" spans="2:16" ht="11.25" hidden="1" x14ac:dyDescent="0.2">
      <c r="B89" s="255"/>
      <c r="C89" s="255"/>
      <c r="D89" s="255"/>
      <c r="E89" s="255"/>
      <c r="F89" s="255"/>
      <c r="G89" s="255"/>
      <c r="H89" s="255"/>
      <c r="I89" s="255"/>
      <c r="J89" s="255"/>
      <c r="K89" s="255"/>
      <c r="L89" s="255"/>
      <c r="M89" s="255"/>
      <c r="N89" s="255"/>
      <c r="O89" s="255"/>
      <c r="P89" s="255"/>
    </row>
    <row r="90" spans="2:16" ht="11.25" hidden="1" x14ac:dyDescent="0.2">
      <c r="B90" s="255"/>
      <c r="C90" s="255"/>
      <c r="D90" s="255"/>
      <c r="E90" s="255"/>
      <c r="F90" s="255"/>
      <c r="G90" s="255"/>
      <c r="H90" s="255"/>
      <c r="I90" s="255"/>
      <c r="J90" s="255"/>
      <c r="K90" s="255"/>
      <c r="L90" s="255"/>
      <c r="M90" s="255"/>
      <c r="N90" s="255"/>
      <c r="O90" s="255"/>
      <c r="P90" s="255"/>
    </row>
    <row r="91" spans="2:16" ht="11.25" hidden="1" x14ac:dyDescent="0.2">
      <c r="B91" s="255"/>
      <c r="C91" s="255"/>
      <c r="D91" s="255"/>
      <c r="E91" s="255"/>
      <c r="F91" s="255"/>
      <c r="G91" s="255"/>
      <c r="H91" s="255"/>
      <c r="I91" s="255"/>
      <c r="J91" s="255"/>
      <c r="K91" s="255"/>
      <c r="L91" s="255"/>
      <c r="M91" s="255"/>
      <c r="N91" s="255"/>
      <c r="O91" s="255"/>
      <c r="P91" s="255"/>
    </row>
    <row r="92" spans="2:16" ht="11.25" hidden="1" x14ac:dyDescent="0.2">
      <c r="B92" s="255"/>
      <c r="C92" s="255"/>
      <c r="D92" s="255"/>
      <c r="E92" s="255"/>
      <c r="F92" s="255"/>
      <c r="G92" s="255"/>
      <c r="H92" s="255"/>
      <c r="I92" s="255"/>
      <c r="J92" s="255"/>
      <c r="K92" s="255"/>
      <c r="L92" s="255"/>
      <c r="M92" s="255"/>
      <c r="N92" s="255"/>
      <c r="O92" s="255"/>
      <c r="P92" s="255"/>
    </row>
    <row r="93" spans="2:16" ht="11.25" hidden="1" x14ac:dyDescent="0.2">
      <c r="B93" s="255"/>
      <c r="C93" s="255"/>
      <c r="D93" s="255"/>
      <c r="E93" s="255"/>
      <c r="F93" s="255"/>
      <c r="G93" s="255"/>
      <c r="H93" s="255"/>
      <c r="I93" s="255"/>
      <c r="J93" s="255"/>
      <c r="K93" s="255"/>
      <c r="L93" s="255"/>
      <c r="M93" s="255"/>
      <c r="N93" s="255"/>
      <c r="O93" s="255"/>
      <c r="P93" s="255"/>
    </row>
    <row r="94" spans="2:16" ht="11.25" hidden="1" x14ac:dyDescent="0.2">
      <c r="B94" s="255"/>
      <c r="C94" s="255"/>
      <c r="D94" s="255"/>
      <c r="E94" s="255"/>
      <c r="F94" s="255"/>
      <c r="G94" s="255"/>
      <c r="H94" s="255"/>
      <c r="I94" s="255"/>
      <c r="J94" s="255"/>
      <c r="K94" s="255"/>
      <c r="L94" s="255"/>
      <c r="M94" s="255"/>
      <c r="N94" s="255"/>
      <c r="O94" s="255"/>
      <c r="P94" s="255"/>
    </row>
    <row r="95" spans="2:16" ht="11.25" hidden="1" x14ac:dyDescent="0.2">
      <c r="B95" s="255"/>
      <c r="C95" s="255"/>
      <c r="D95" s="255"/>
      <c r="E95" s="255"/>
      <c r="F95" s="255"/>
      <c r="G95" s="255"/>
      <c r="H95" s="255"/>
      <c r="I95" s="255"/>
      <c r="J95" s="255"/>
      <c r="K95" s="255"/>
      <c r="L95" s="255"/>
      <c r="M95" s="255"/>
      <c r="N95" s="255"/>
      <c r="O95" s="255"/>
      <c r="P95" s="255"/>
    </row>
    <row r="96" spans="2:16" ht="11.25" hidden="1" x14ac:dyDescent="0.2">
      <c r="B96" s="255"/>
      <c r="C96" s="255"/>
      <c r="D96" s="255"/>
      <c r="E96" s="255"/>
      <c r="F96" s="255"/>
      <c r="G96" s="255"/>
      <c r="H96" s="255"/>
      <c r="I96" s="255"/>
      <c r="J96" s="255"/>
      <c r="K96" s="255"/>
      <c r="L96" s="255"/>
      <c r="M96" s="255"/>
      <c r="N96" s="255"/>
      <c r="O96" s="255"/>
      <c r="P96" s="255"/>
    </row>
    <row r="97" spans="2:16" ht="11.25" hidden="1" x14ac:dyDescent="0.2">
      <c r="B97" s="255"/>
      <c r="C97" s="255"/>
      <c r="D97" s="255"/>
      <c r="E97" s="255"/>
      <c r="F97" s="255"/>
      <c r="G97" s="255"/>
      <c r="H97" s="255"/>
      <c r="I97" s="255"/>
      <c r="J97" s="255"/>
      <c r="K97" s="255"/>
      <c r="L97" s="255"/>
      <c r="M97" s="255"/>
      <c r="N97" s="255"/>
      <c r="O97" s="255"/>
      <c r="P97" s="255"/>
    </row>
    <row r="98" spans="2:16" ht="11.25" hidden="1" x14ac:dyDescent="0.2">
      <c r="B98" s="255"/>
      <c r="C98" s="255"/>
      <c r="D98" s="255"/>
      <c r="E98" s="255"/>
      <c r="F98" s="255"/>
      <c r="G98" s="255"/>
      <c r="H98" s="255"/>
      <c r="I98" s="255"/>
      <c r="J98" s="255"/>
      <c r="K98" s="255"/>
      <c r="L98" s="255"/>
      <c r="M98" s="255"/>
      <c r="N98" s="255"/>
      <c r="O98" s="255"/>
      <c r="P98" s="255"/>
    </row>
    <row r="99" spans="2:16" ht="11.25" hidden="1" x14ac:dyDescent="0.2">
      <c r="B99" s="255"/>
      <c r="C99" s="255"/>
      <c r="D99" s="255"/>
      <c r="E99" s="255"/>
      <c r="F99" s="255"/>
      <c r="G99" s="255"/>
      <c r="H99" s="255"/>
      <c r="I99" s="255"/>
      <c r="J99" s="255"/>
      <c r="K99" s="255"/>
      <c r="L99" s="255"/>
      <c r="M99" s="255"/>
      <c r="N99" s="255"/>
      <c r="O99" s="255"/>
      <c r="P99" s="255"/>
    </row>
    <row r="100" spans="2:16" ht="11.25" hidden="1" x14ac:dyDescent="0.2">
      <c r="B100" s="255"/>
      <c r="C100" s="255"/>
      <c r="D100" s="255"/>
      <c r="E100" s="255"/>
      <c r="F100" s="255"/>
      <c r="G100" s="255"/>
      <c r="H100" s="255"/>
      <c r="I100" s="255"/>
      <c r="J100" s="255"/>
      <c r="K100" s="255"/>
      <c r="L100" s="255"/>
      <c r="M100" s="255"/>
      <c r="N100" s="255"/>
      <c r="O100" s="255"/>
      <c r="P100" s="255"/>
    </row>
    <row r="101" spans="2:16" ht="11.25" hidden="1" x14ac:dyDescent="0.2">
      <c r="B101" s="255"/>
      <c r="C101" s="255"/>
      <c r="D101" s="255"/>
      <c r="E101" s="255"/>
      <c r="F101" s="255"/>
      <c r="G101" s="255"/>
      <c r="H101" s="255"/>
      <c r="I101" s="255"/>
      <c r="J101" s="255"/>
      <c r="K101" s="255"/>
      <c r="L101" s="255"/>
      <c r="M101" s="255"/>
      <c r="N101" s="255"/>
      <c r="O101" s="255"/>
      <c r="P101" s="255"/>
    </row>
    <row r="102" spans="2:16" ht="11.25" hidden="1" x14ac:dyDescent="0.2">
      <c r="B102" s="255"/>
      <c r="C102" s="255"/>
      <c r="D102" s="255"/>
      <c r="E102" s="255"/>
      <c r="F102" s="255"/>
      <c r="G102" s="255"/>
      <c r="H102" s="255"/>
      <c r="I102" s="255"/>
      <c r="J102" s="255"/>
      <c r="K102" s="255"/>
      <c r="L102" s="255"/>
      <c r="M102" s="255"/>
      <c r="N102" s="255"/>
      <c r="O102" s="255"/>
      <c r="P102" s="255"/>
    </row>
    <row r="103" spans="2:16" ht="11.25" hidden="1" x14ac:dyDescent="0.2">
      <c r="B103" s="255"/>
      <c r="C103" s="255"/>
      <c r="D103" s="255"/>
      <c r="E103" s="255"/>
      <c r="F103" s="255"/>
      <c r="G103" s="255"/>
      <c r="H103" s="255"/>
      <c r="I103" s="255"/>
      <c r="J103" s="255"/>
      <c r="K103" s="255"/>
      <c r="L103" s="255"/>
      <c r="M103" s="255"/>
      <c r="N103" s="255"/>
      <c r="O103" s="255"/>
      <c r="P103" s="255"/>
    </row>
  </sheetData>
  <sheetProtection algorithmName="SHA-512" hashValue="agSjTd5P8jikn/QJj0M/PU6gRyt3+KGa+jU29hqzeupmCflKFSbcbfy+ApjzCHGpcnI4H/12jUu5RDYuxEgHJw==" saltValue="M1tB47zUf0inV2fJ/35c1A==" spinCount="100000" sheet="1" objects="1" scenarios="1"/>
  <mergeCells count="14">
    <mergeCell ref="E39:F39"/>
    <mergeCell ref="E40:F40"/>
    <mergeCell ref="C39:D39"/>
    <mergeCell ref="C41:D41"/>
    <mergeCell ref="E41:F41"/>
    <mergeCell ref="C38:D38"/>
    <mergeCell ref="E38:F38"/>
    <mergeCell ref="B1:F1"/>
    <mergeCell ref="B2:F2"/>
    <mergeCell ref="B3:F3"/>
    <mergeCell ref="C36:D36"/>
    <mergeCell ref="E36:F36"/>
    <mergeCell ref="C37:D37"/>
    <mergeCell ref="E37:F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Datos</vt:lpstr>
      <vt:lpstr>RESULTADO</vt:lpstr>
      <vt:lpstr>Tiempos de cotización</vt:lpstr>
      <vt:lpstr>Haber Regulador</vt:lpstr>
      <vt:lpstr>Retribuciones</vt:lpstr>
      <vt:lpstr>Normativas</vt:lpstr>
      <vt:lpstr>Cálculo sencillo</vt:lpstr>
      <vt:lpstr>Hoja2</vt:lpstr>
      <vt:lpstr>Importe</vt:lpstr>
      <vt:lpstr>IRPFPensión</vt:lpstr>
      <vt:lpstr>IRPFNómina</vt:lpstr>
      <vt:lpstr>IRPFPensiónMax</vt:lpstr>
      <vt:lpstr>DatosIRPF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Ángel Amador</dc:creator>
  <cp:lastModifiedBy>José Ángel Amador Sierra</cp:lastModifiedBy>
  <cp:lastPrinted>2024-01-13T20:20:48Z</cp:lastPrinted>
  <dcterms:created xsi:type="dcterms:W3CDTF">2004-01-13T10:49:42Z</dcterms:created>
  <dcterms:modified xsi:type="dcterms:W3CDTF">2024-06-13T22:13:31Z</dcterms:modified>
</cp:coreProperties>
</file>