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ucan 2018 2019\Retribuciones\"/>
    </mc:Choice>
  </mc:AlternateContent>
  <xr:revisionPtr revIDLastSave="0" documentId="8_{A6967CC7-29A1-48F8-988E-5F7ACD4D4804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Nómina" sheetId="8" r:id="rId1"/>
    <sheet name="Datos IRPF" sheetId="11" state="hidden" r:id="rId2"/>
    <sheet name="Retribuciones" sheetId="12" r:id="rId3"/>
    <sheet name="Hoja2" sheetId="10" state="hidden" r:id="rId4"/>
    <sheet name="Hoja1" sheetId="13" state="hidden" r:id="rId5"/>
  </sheets>
  <calcPr calcId="179017"/>
</workbook>
</file>

<file path=xl/calcChain.xml><?xml version="1.0" encoding="utf-8"?>
<calcChain xmlns="http://schemas.openxmlformats.org/spreadsheetml/2006/main">
  <c r="C6" i="8" l="1"/>
  <c r="D23" i="8" l="1"/>
  <c r="C83" i="8" l="1"/>
  <c r="AE14" i="12"/>
  <c r="AD14" i="12"/>
  <c r="AD13" i="12"/>
  <c r="AE13" i="12" s="1"/>
  <c r="AC14" i="12"/>
  <c r="AC13" i="12"/>
  <c r="B29" i="8" l="1"/>
  <c r="D40" i="8"/>
  <c r="B56" i="8"/>
  <c r="E56" i="8"/>
  <c r="B57" i="8"/>
  <c r="E39" i="10"/>
  <c r="D39" i="10" s="1"/>
  <c r="D40" i="10" s="1"/>
  <c r="D41" i="10" s="1"/>
  <c r="D29" i="8" s="1"/>
  <c r="E33" i="10"/>
  <c r="E21" i="10"/>
  <c r="L17" i="12"/>
  <c r="I17" i="12"/>
  <c r="J17" i="12" s="1"/>
  <c r="K16" i="12"/>
  <c r="L16" i="12" s="1"/>
  <c r="J16" i="12"/>
  <c r="AA15" i="12"/>
  <c r="AA16" i="12" s="1"/>
  <c r="AA17" i="12" s="1"/>
  <c r="Z15" i="12"/>
  <c r="Z16" i="12" s="1"/>
  <c r="Z17" i="12" s="1"/>
  <c r="Y15" i="12"/>
  <c r="Y16" i="12" s="1"/>
  <c r="Y17" i="12" s="1"/>
  <c r="X15" i="12"/>
  <c r="X16" i="12" s="1"/>
  <c r="X17" i="12" s="1"/>
  <c r="W15" i="12"/>
  <c r="W16" i="12" s="1"/>
  <c r="W17" i="12" s="1"/>
  <c r="K15" i="12"/>
  <c r="H15" i="12"/>
  <c r="H16" i="12" s="1"/>
  <c r="H17" i="12" s="1"/>
  <c r="G15" i="12"/>
  <c r="G16" i="12" s="1"/>
  <c r="G17" i="12" s="1"/>
  <c r="F15" i="12"/>
  <c r="F16" i="12" s="1"/>
  <c r="F17" i="12" s="1"/>
  <c r="E15" i="12"/>
  <c r="E16" i="12" s="1"/>
  <c r="E17" i="12" s="1"/>
  <c r="L14" i="12"/>
  <c r="L15" i="12" s="1"/>
  <c r="Y11" i="12"/>
  <c r="Y12" i="12" s="1"/>
  <c r="Y13" i="12" s="1"/>
  <c r="X11" i="12"/>
  <c r="X12" i="12" s="1"/>
  <c r="X13" i="12" s="1"/>
  <c r="W11" i="12"/>
  <c r="W12" i="12" s="1"/>
  <c r="W13" i="12" s="1"/>
  <c r="K11" i="12"/>
  <c r="K12" i="12" s="1"/>
  <c r="K13" i="12" s="1"/>
  <c r="I11" i="12"/>
  <c r="I12" i="12" s="1"/>
  <c r="L10" i="12"/>
  <c r="L11" i="12" s="1"/>
  <c r="L12" i="12" s="1"/>
  <c r="L13" i="12" s="1"/>
  <c r="J10" i="12"/>
  <c r="AA9" i="12"/>
  <c r="AA10" i="12" s="1"/>
  <c r="AA11" i="12" s="1"/>
  <c r="AA12" i="12" s="1"/>
  <c r="AA13" i="12" s="1"/>
  <c r="Z9" i="12"/>
  <c r="Z10" i="12" s="1"/>
  <c r="Z11" i="12" s="1"/>
  <c r="Z12" i="12" s="1"/>
  <c r="Z13" i="12" s="1"/>
  <c r="V9" i="12"/>
  <c r="V10" i="12" s="1"/>
  <c r="V11" i="12" s="1"/>
  <c r="V12" i="12" s="1"/>
  <c r="V13" i="12" s="1"/>
  <c r="V14" i="12" s="1"/>
  <c r="V15" i="12" s="1"/>
  <c r="V16" i="12" s="1"/>
  <c r="V17" i="12" s="1"/>
  <c r="U9" i="12"/>
  <c r="U10" i="12" s="1"/>
  <c r="U11" i="12" s="1"/>
  <c r="U12" i="12" s="1"/>
  <c r="U13" i="12" s="1"/>
  <c r="U14" i="12" s="1"/>
  <c r="U15" i="12" s="1"/>
  <c r="U16" i="12" s="1"/>
  <c r="U17" i="12" s="1"/>
  <c r="T9" i="12"/>
  <c r="T10" i="12" s="1"/>
  <c r="T11" i="12" s="1"/>
  <c r="T12" i="12" s="1"/>
  <c r="T13" i="12" s="1"/>
  <c r="T14" i="12" s="1"/>
  <c r="T15" i="12" s="1"/>
  <c r="T16" i="12" s="1"/>
  <c r="T17" i="12" s="1"/>
  <c r="S9" i="12"/>
  <c r="S10" i="12" s="1"/>
  <c r="S11" i="12" s="1"/>
  <c r="S12" i="12" s="1"/>
  <c r="S13" i="12" s="1"/>
  <c r="S14" i="12" s="1"/>
  <c r="S15" i="12" s="1"/>
  <c r="S16" i="12" s="1"/>
  <c r="S17" i="12" s="1"/>
  <c r="R9" i="12"/>
  <c r="R10" i="12" s="1"/>
  <c r="R11" i="12" s="1"/>
  <c r="R12" i="12" s="1"/>
  <c r="R13" i="12" s="1"/>
  <c r="R14" i="12" s="1"/>
  <c r="R15" i="12" s="1"/>
  <c r="R16" i="12" s="1"/>
  <c r="R17" i="12" s="1"/>
  <c r="Q9" i="12"/>
  <c r="Q10" i="12" s="1"/>
  <c r="Q11" i="12" s="1"/>
  <c r="Q12" i="12" s="1"/>
  <c r="Q13" i="12" s="1"/>
  <c r="Q14" i="12" s="1"/>
  <c r="Q15" i="12" s="1"/>
  <c r="Q16" i="12" s="1"/>
  <c r="Q17" i="12" s="1"/>
  <c r="P9" i="12"/>
  <c r="P10" i="12" s="1"/>
  <c r="P11" i="12" s="1"/>
  <c r="P12" i="12" s="1"/>
  <c r="P13" i="12" s="1"/>
  <c r="P14" i="12" s="1"/>
  <c r="P15" i="12" s="1"/>
  <c r="P16" i="12" s="1"/>
  <c r="P17" i="12" s="1"/>
  <c r="O9" i="12"/>
  <c r="O10" i="12" s="1"/>
  <c r="O11" i="12" s="1"/>
  <c r="O12" i="12" s="1"/>
  <c r="O13" i="12" s="1"/>
  <c r="O14" i="12" s="1"/>
  <c r="O15" i="12" s="1"/>
  <c r="O16" i="12" s="1"/>
  <c r="O17" i="12" s="1"/>
  <c r="N9" i="12"/>
  <c r="N10" i="12" s="1"/>
  <c r="N11" i="12" s="1"/>
  <c r="N12" i="12" s="1"/>
  <c r="N13" i="12" s="1"/>
  <c r="N14" i="12" s="1"/>
  <c r="N15" i="12" s="1"/>
  <c r="N16" i="12" s="1"/>
  <c r="N17" i="12" s="1"/>
  <c r="M9" i="12"/>
  <c r="M10" i="12" s="1"/>
  <c r="M11" i="12" s="1"/>
  <c r="M12" i="12" s="1"/>
  <c r="M13" i="12" s="1"/>
  <c r="M14" i="12" s="1"/>
  <c r="M15" i="12" s="1"/>
  <c r="M16" i="12" s="1"/>
  <c r="M17" i="12" s="1"/>
  <c r="L9" i="12"/>
  <c r="I9" i="12"/>
  <c r="J9" i="12" s="1"/>
  <c r="H9" i="12"/>
  <c r="H10" i="12" s="1"/>
  <c r="H11" i="12" s="1"/>
  <c r="H12" i="12" s="1"/>
  <c r="H13" i="12" s="1"/>
  <c r="G9" i="12"/>
  <c r="G10" i="12" s="1"/>
  <c r="G11" i="12" s="1"/>
  <c r="G12" i="12" s="1"/>
  <c r="G13" i="12" s="1"/>
  <c r="F9" i="12"/>
  <c r="F10" i="12" s="1"/>
  <c r="F11" i="12" s="1"/>
  <c r="F12" i="12" s="1"/>
  <c r="F13" i="12" s="1"/>
  <c r="E9" i="12"/>
  <c r="E10" i="12" s="1"/>
  <c r="E11" i="12" s="1"/>
  <c r="E12" i="12" s="1"/>
  <c r="E13" i="12" s="1"/>
  <c r="L8" i="12"/>
  <c r="J8" i="12"/>
  <c r="D22" i="8"/>
  <c r="B22" i="8"/>
  <c r="D19" i="8"/>
  <c r="B23" i="8"/>
  <c r="J11" i="12" l="1"/>
  <c r="J12" i="12"/>
  <c r="I13" i="12"/>
  <c r="E3" i="13"/>
  <c r="E2" i="13"/>
  <c r="N26" i="10"/>
  <c r="N29" i="10"/>
  <c r="O29" i="10" s="1"/>
  <c r="O34" i="10"/>
  <c r="N34" i="10"/>
  <c r="O33" i="10"/>
  <c r="N33" i="10"/>
  <c r="O32" i="10"/>
  <c r="N32" i="10"/>
  <c r="J36" i="10"/>
  <c r="K36" i="10" s="1"/>
  <c r="L36" i="10" s="1"/>
  <c r="M36" i="10" s="1"/>
  <c r="N36" i="10" s="1"/>
  <c r="O36" i="10" s="1"/>
  <c r="J35" i="10"/>
  <c r="K35" i="10" s="1"/>
  <c r="L35" i="10" s="1"/>
  <c r="M35" i="10" s="1"/>
  <c r="N35" i="10" s="1"/>
  <c r="O35" i="10" s="1"/>
  <c r="J34" i="10"/>
  <c r="K34" i="10" s="1"/>
  <c r="L34" i="10" s="1"/>
  <c r="M34" i="10" s="1"/>
  <c r="J33" i="10"/>
  <c r="K33" i="10" s="1"/>
  <c r="L33" i="10" s="1"/>
  <c r="M33" i="10" s="1"/>
  <c r="J32" i="10"/>
  <c r="K32" i="10" s="1"/>
  <c r="L32" i="10" s="1"/>
  <c r="M32" i="10" s="1"/>
  <c r="G36" i="10"/>
  <c r="H36" i="10" s="1"/>
  <c r="I36" i="10" s="1"/>
  <c r="G35" i="10"/>
  <c r="H35" i="10" s="1"/>
  <c r="I35" i="10" s="1"/>
  <c r="G34" i="10"/>
  <c r="H34" i="10" s="1"/>
  <c r="I34" i="10" s="1"/>
  <c r="G33" i="10"/>
  <c r="H33" i="10" s="1"/>
  <c r="I33" i="10" s="1"/>
  <c r="G32" i="10"/>
  <c r="H32" i="10" s="1"/>
  <c r="I32" i="10" s="1"/>
  <c r="G29" i="10"/>
  <c r="O26" i="10"/>
  <c r="J26" i="10"/>
  <c r="K26" i="10" s="1"/>
  <c r="L26" i="10" s="1"/>
  <c r="M26" i="10" s="1"/>
  <c r="H26" i="10"/>
  <c r="I26" i="10" s="1"/>
  <c r="G26" i="10"/>
  <c r="J22" i="10"/>
  <c r="K22" i="10" s="1"/>
  <c r="L22" i="10" s="1"/>
  <c r="M22" i="10" s="1"/>
  <c r="N22" i="10" s="1"/>
  <c r="O22" i="10" s="1"/>
  <c r="J21" i="10"/>
  <c r="K21" i="10" s="1"/>
  <c r="L21" i="10" s="1"/>
  <c r="M21" i="10" s="1"/>
  <c r="N21" i="10" s="1"/>
  <c r="O21" i="10" s="1"/>
  <c r="G22" i="10"/>
  <c r="H22" i="10" s="1"/>
  <c r="I22" i="10" s="1"/>
  <c r="G21" i="10"/>
  <c r="H21" i="10" s="1"/>
  <c r="I21" i="10" s="1"/>
  <c r="J19" i="10"/>
  <c r="K19" i="10" s="1"/>
  <c r="L19" i="10" s="1"/>
  <c r="M19" i="10" s="1"/>
  <c r="N19" i="10" s="1"/>
  <c r="O19" i="10" s="1"/>
  <c r="G19" i="10"/>
  <c r="H19" i="10" s="1"/>
  <c r="I19" i="10" s="1"/>
  <c r="J18" i="10"/>
  <c r="G18" i="10"/>
  <c r="H18" i="10" s="1"/>
  <c r="I18" i="10" s="1"/>
  <c r="J13" i="12" l="1"/>
  <c r="I14" i="12"/>
  <c r="K18" i="10"/>
  <c r="L18" i="10" s="1"/>
  <c r="M18" i="10" s="1"/>
  <c r="N18" i="10" s="1"/>
  <c r="O18" i="10" s="1"/>
  <c r="P14" i="13"/>
  <c r="Q14" i="13" s="1"/>
  <c r="P11" i="13"/>
  <c r="Q11" i="13" s="1"/>
  <c r="G20" i="10"/>
  <c r="H20" i="10" s="1"/>
  <c r="I20" i="10" s="1"/>
  <c r="P15" i="13"/>
  <c r="Q15" i="13" s="1"/>
  <c r="P16" i="13"/>
  <c r="Q16" i="13" s="1"/>
  <c r="P17" i="13"/>
  <c r="Q17" i="13" s="1"/>
  <c r="P9" i="13"/>
  <c r="P10" i="13"/>
  <c r="Q10" i="13" s="1"/>
  <c r="P12" i="13"/>
  <c r="P13" i="13"/>
  <c r="Q13" i="13" s="1"/>
  <c r="J23" i="10"/>
  <c r="K23" i="10" s="1"/>
  <c r="L23" i="10" s="1"/>
  <c r="M23" i="10" s="1"/>
  <c r="N23" i="10" s="1"/>
  <c r="O23" i="10" s="1"/>
  <c r="G23" i="10"/>
  <c r="H23" i="10" s="1"/>
  <c r="I23" i="10" s="1"/>
  <c r="J20" i="10"/>
  <c r="K20" i="10" s="1"/>
  <c r="L20" i="10" s="1"/>
  <c r="M20" i="10" s="1"/>
  <c r="N20" i="10" s="1"/>
  <c r="O20" i="10" s="1"/>
  <c r="I15" i="12" l="1"/>
  <c r="J15" i="12" s="1"/>
  <c r="J14" i="12"/>
  <c r="Q12" i="13"/>
  <c r="Q9" i="13"/>
  <c r="H29" i="10" l="1"/>
  <c r="I29" i="10" s="1"/>
  <c r="J29" i="10" s="1"/>
  <c r="K29" i="10" s="1"/>
  <c r="L29" i="10" s="1"/>
  <c r="M29" i="10" s="1"/>
  <c r="E6" i="12"/>
  <c r="B33" i="8" l="1"/>
  <c r="B32" i="8"/>
  <c r="B31" i="8"/>
  <c r="B30" i="8"/>
  <c r="A43" i="11" l="1"/>
  <c r="B51" i="8"/>
  <c r="B42" i="11" l="1"/>
  <c r="D41" i="11"/>
  <c r="D40" i="11"/>
  <c r="A40" i="11"/>
  <c r="A41" i="11"/>
  <c r="C43" i="8" l="1"/>
  <c r="B43" i="8"/>
  <c r="C42" i="8" l="1"/>
  <c r="B53" i="8"/>
  <c r="D43" i="11" l="1"/>
  <c r="A42" i="11"/>
  <c r="A39" i="11"/>
  <c r="B32" i="11" l="1"/>
  <c r="B31" i="11"/>
  <c r="B30" i="11"/>
  <c r="C22" i="11"/>
  <c r="C21" i="11"/>
  <c r="C19" i="11"/>
  <c r="C15" i="11"/>
  <c r="C14" i="11"/>
  <c r="C6" i="11"/>
  <c r="C34" i="11" l="1"/>
  <c r="C35" i="11" s="1"/>
  <c r="H25" i="10"/>
  <c r="I25" i="10"/>
  <c r="J25" i="10"/>
  <c r="K25" i="10"/>
  <c r="L25" i="10"/>
  <c r="M25" i="10"/>
  <c r="N25" i="10"/>
  <c r="O25" i="10"/>
  <c r="G25" i="10"/>
  <c r="AG101" i="8"/>
  <c r="K104" i="8"/>
  <c r="K105" i="8"/>
  <c r="K106" i="8"/>
  <c r="K107" i="8"/>
  <c r="K108" i="8"/>
  <c r="K109" i="8"/>
  <c r="B18" i="8"/>
  <c r="K101" i="8"/>
  <c r="AE124" i="8"/>
  <c r="AC124" i="8" s="1"/>
  <c r="AA124" i="8" s="1"/>
  <c r="Y124" i="8" s="1"/>
  <c r="W124" i="8" s="1"/>
  <c r="U124" i="8" s="1"/>
  <c r="D35" i="8" s="1"/>
  <c r="AE123" i="8"/>
  <c r="AC123" i="8" s="1"/>
  <c r="AA123" i="8" s="1"/>
  <c r="Y123" i="8" s="1"/>
  <c r="W123" i="8" s="1"/>
  <c r="U123" i="8" s="1"/>
  <c r="D34" i="8" s="1"/>
  <c r="B19" i="8"/>
  <c r="D16" i="10" l="1"/>
  <c r="D18" i="10" s="1"/>
  <c r="L107" i="8"/>
  <c r="AD123" i="8"/>
  <c r="AB123" i="8" s="1"/>
  <c r="Z123" i="8" s="1"/>
  <c r="X123" i="8" s="1"/>
  <c r="V123" i="8" s="1"/>
  <c r="T123" i="8" s="1"/>
  <c r="K73" i="8" l="1"/>
  <c r="K75" i="8"/>
  <c r="D16" i="8" s="1"/>
  <c r="D23" i="10"/>
  <c r="K80" i="8" s="1"/>
  <c r="D31" i="8" s="1"/>
  <c r="D34" i="10"/>
  <c r="K89" i="8" s="1"/>
  <c r="D28" i="10"/>
  <c r="K84" i="8" s="1"/>
  <c r="C21" i="8" s="1"/>
  <c r="D32" i="10"/>
  <c r="K87" i="8" s="1"/>
  <c r="D18" i="8" s="1"/>
  <c r="D22" i="10"/>
  <c r="K79" i="8" s="1"/>
  <c r="D36" i="10"/>
  <c r="K91" i="8" s="1"/>
  <c r="K112" i="8" s="1"/>
  <c r="D35" i="10"/>
  <c r="K90" i="8" s="1"/>
  <c r="K113" i="8" s="1"/>
  <c r="D26" i="10"/>
  <c r="D33" i="10"/>
  <c r="K88" i="8" s="1"/>
  <c r="D17" i="10"/>
  <c r="K74" i="8" s="1"/>
  <c r="C16" i="8" s="1"/>
  <c r="C17" i="8" s="1"/>
  <c r="B17" i="8" s="1"/>
  <c r="D21" i="10"/>
  <c r="K78" i="8" s="1"/>
  <c r="D17" i="8" s="1"/>
  <c r="D20" i="10"/>
  <c r="D19" i="10"/>
  <c r="K76" i="8" s="1"/>
  <c r="D30" i="8" s="1"/>
  <c r="D24" i="10"/>
  <c r="K81" i="8" s="1"/>
  <c r="D31" i="10"/>
  <c r="K86" i="8" s="1"/>
  <c r="C18" i="8" s="1"/>
  <c r="D25" i="10"/>
  <c r="K82" i="8" s="1"/>
  <c r="C20" i="8" s="1"/>
  <c r="D29" i="10"/>
  <c r="K85" i="8" s="1"/>
  <c r="K77" i="8" l="1"/>
  <c r="K83" i="8"/>
  <c r="D27" i="10"/>
  <c r="D47" i="10" s="1"/>
  <c r="E47" i="10" s="1"/>
  <c r="F47" i="10" s="1"/>
  <c r="D30" i="10"/>
  <c r="D46" i="10" s="1"/>
  <c r="E46" i="10" s="1"/>
  <c r="F46" i="10" s="1"/>
  <c r="K102" i="8"/>
  <c r="D21" i="8" l="1"/>
  <c r="D32" i="8"/>
  <c r="D20" i="8"/>
  <c r="D33" i="8"/>
  <c r="D37" i="10"/>
  <c r="D50" i="8" s="1"/>
  <c r="D56" i="8" s="1"/>
  <c r="F48" i="10"/>
  <c r="D37" i="8" l="1"/>
  <c r="C79" i="8" s="1"/>
  <c r="B25" i="11"/>
  <c r="C65" i="8" l="1"/>
  <c r="D53" i="8"/>
  <c r="G41" i="8"/>
  <c r="G42" i="8"/>
  <c r="C69" i="8" s="1"/>
  <c r="D42" i="8"/>
  <c r="G43" i="8"/>
  <c r="C70" i="8" s="1"/>
  <c r="D43" i="8"/>
  <c r="D51" i="8" s="1"/>
  <c r="D57" i="8" s="1"/>
  <c r="C41" i="8" l="1"/>
  <c r="D41" i="8"/>
  <c r="C68" i="8"/>
  <c r="C71" i="8" s="1"/>
  <c r="C73" i="8" s="1"/>
  <c r="C82" i="8"/>
  <c r="C84" i="8" s="1"/>
  <c r="C86" i="8" s="1"/>
  <c r="G44" i="8"/>
  <c r="B29" i="11"/>
  <c r="B34" i="11" s="1"/>
  <c r="B35" i="11" s="1"/>
  <c r="B36" i="11" s="1"/>
  <c r="B37" i="11" s="1"/>
  <c r="C12" i="8" s="1"/>
  <c r="C44" i="8" l="1"/>
  <c r="D44" i="8" s="1"/>
  <c r="D46" i="8" l="1"/>
  <c r="D48" i="8" s="1"/>
</calcChain>
</file>

<file path=xl/sharedStrings.xml><?xml version="1.0" encoding="utf-8"?>
<sst xmlns="http://schemas.openxmlformats.org/spreadsheetml/2006/main" count="364" uniqueCount="245">
  <si>
    <t>Nivel</t>
  </si>
  <si>
    <t>Grupo</t>
  </si>
  <si>
    <t>Grado</t>
  </si>
  <si>
    <t>Sueldo Base</t>
  </si>
  <si>
    <t xml:space="preserve">Trienios </t>
  </si>
  <si>
    <t xml:space="preserve">Complemento Destino </t>
  </si>
  <si>
    <t>Complemento Específico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</si>
  <si>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</si>
  <si>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</si>
  <si>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</si>
  <si>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</si>
  <si>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</si>
  <si>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</si>
  <si>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Acogida Temprana. Grupo A2</t>
  </si>
  <si>
    <t>Hora Lectiva Complementaria, Refuerzo Educativo. Grupo A2</t>
  </si>
  <si>
    <t>Jefe de Departamento</t>
  </si>
  <si>
    <t>Maestros de Ocio con Residencia Permanente</t>
  </si>
  <si>
    <t>MUFACE</t>
  </si>
  <si>
    <t>Puntos Ley 4/1991</t>
  </si>
  <si>
    <t>Puntos 2010</t>
  </si>
  <si>
    <t>Extra Junio Sueldo Base</t>
  </si>
  <si>
    <t>Extra Diciembre Sueldo Base</t>
  </si>
  <si>
    <t>Extra Junio Trienio</t>
  </si>
  <si>
    <t>Extra Diciembre Trienios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</si>
  <si>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</si>
  <si>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</si>
  <si>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</si>
  <si>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</si>
  <si>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</si>
  <si>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</si>
  <si>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</si>
  <si>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</si>
  <si>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</si>
  <si>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</si>
  <si>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</si>
  <si>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</si>
  <si>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</si>
  <si>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</si>
  <si>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</si>
  <si>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</si>
  <si>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</si>
  <si>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</si>
  <si>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</si>
  <si>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</si>
  <si>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</si>
  <si>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</si>
  <si>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</si>
  <si>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</si>
  <si>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</si>
  <si>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</si>
  <si>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</si>
  <si>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</si>
  <si>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</si>
  <si>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</si>
  <si>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Otro Complemento: Elegir opción del menú desplegable</t>
  </si>
  <si>
    <t>Trienios</t>
  </si>
  <si>
    <t>INGRESOS BRUTOS</t>
  </si>
  <si>
    <t>GASTOS</t>
  </si>
  <si>
    <t>S</t>
  </si>
  <si>
    <t>Junio</t>
  </si>
  <si>
    <t>Diciembre</t>
  </si>
  <si>
    <t>Importe Nómina</t>
  </si>
  <si>
    <t>% Retención IRPF</t>
  </si>
  <si>
    <t>DESCUENTOS</t>
  </si>
  <si>
    <t>Clases Pasivas</t>
  </si>
  <si>
    <t>Sin Sexenio</t>
  </si>
  <si>
    <t>Maestros de Primero y Segundo de Enseñanza Secundaria Obligatoria</t>
  </si>
  <si>
    <t>Extra diciembre sexenios</t>
  </si>
  <si>
    <t>HOMOLOGACIÓN 1º Sexenio</t>
  </si>
  <si>
    <t>HOMOLOGACIÓN 2º Sexenio</t>
  </si>
  <si>
    <t>HOMOLOGACIÓN 5º Sexenio</t>
  </si>
  <si>
    <t>HOMOLOGACIÓN 3º Sexenio</t>
  </si>
  <si>
    <t>HOMOLOGACIÓN 4º Sexenio</t>
  </si>
  <si>
    <t>Paga Extra, HOMOLOGACIÓN 1º Sexenio</t>
  </si>
  <si>
    <t>Paga Extra, HOMOLOGACIÓN 2º Sexenio</t>
  </si>
  <si>
    <t>Paga Extra, HOMOLOGACIÓN 3º Sexenio</t>
  </si>
  <si>
    <t>Paga Extra, HOMOLOGACIÓN 4º Sexenio</t>
  </si>
  <si>
    <t>Paga Extra, HOMOLOGACIÓN 5º Sexenio</t>
  </si>
  <si>
    <t>Paga Extra, HOMOLOGACIÓN Sin Sexenio</t>
  </si>
  <si>
    <t>A1</t>
  </si>
  <si>
    <t>SUELDO MENSUAL LIQUIDO A PERCIBIR</t>
  </si>
  <si>
    <t>Cuerpo Docente</t>
  </si>
  <si>
    <t>Funcionario</t>
  </si>
  <si>
    <t xml:space="preserve">Maestro de Primero y Segundo de la ESO </t>
  </si>
  <si>
    <t>Nómina con Paga Extraordinaria</t>
  </si>
  <si>
    <t xml:space="preserve">Destino en Isla No Capitalina  </t>
  </si>
  <si>
    <t>Interino</t>
  </si>
  <si>
    <t>Andalucía</t>
  </si>
  <si>
    <t>Aragón</t>
  </si>
  <si>
    <t>Asturias</t>
  </si>
  <si>
    <t>Baleares (Islas)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</si>
  <si>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</si>
  <si>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</si>
  <si>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</si>
  <si>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</si>
  <si>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</si>
  <si>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</si>
  <si>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</si>
  <si>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</si>
  <si>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</si>
  <si>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</si>
  <si>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</si>
  <si>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</si>
  <si>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</si>
  <si>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Catedráticos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</si>
  <si>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</si>
  <si>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</si>
  <si>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</si>
  <si>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</si>
  <si>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</si>
  <si>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</si>
  <si>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</si>
  <si>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</si>
  <si>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</si>
  <si>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</si>
  <si>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</si>
  <si>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</si>
  <si>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</si>
  <si>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</si>
  <si>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Cuota Afiliación DOCENTES DE CANARIAS-INSUCAN</t>
  </si>
  <si>
    <t xml:space="preserve">    Descuento del 50% del 1º al 3º día y el 25% del 4º al 20º día</t>
  </si>
  <si>
    <t>A2</t>
  </si>
  <si>
    <t>Extra S Base</t>
  </si>
  <si>
    <t>Trienios Extra</t>
  </si>
  <si>
    <t>Complemento Destino</t>
  </si>
  <si>
    <t>Profesores de Enseñanza Secundaria</t>
  </si>
  <si>
    <t>Profesores de Musica y Artes Escénicas</t>
  </si>
  <si>
    <t>Inspectores</t>
  </si>
  <si>
    <t>Elegir lo que corresponda de los menús desplegables</t>
  </si>
  <si>
    <t>Puntos 2014</t>
  </si>
  <si>
    <t>Grupo, Nivel, Puntos y Grado</t>
  </si>
  <si>
    <t>Días de baja</t>
  </si>
  <si>
    <t>Director/ra CEIP, CEP, CEEE, EEI, CEPA. Cordinador CER. Tipo A (Más de 35 Unidades)</t>
  </si>
  <si>
    <t>Director/ra CEIP, CEP, CEEE, EEI, CEPA. Cordinador CER. Tipo B (27 a 35 Unidades)</t>
  </si>
  <si>
    <t>Director/ra CEIP, CEP, CEEE, EEI, CEPA. Cordinador CER. Tipo C (18 a 26 Unidades)</t>
  </si>
  <si>
    <t>Director/ra CEIP, CEP, CEEE, EEI, CEPA. Cordinador CER. Tipo D (9 a 17 Unidades)</t>
  </si>
  <si>
    <t>Director/ra CEIP, CEP, CEEE, EEI, CEPA. Cordinador CER. Tipo E (6 a 8 Unidades)</t>
  </si>
  <si>
    <t>Director/ra CEIP, CEP, CEEE, EEI, CEPA. Cordinador CER. Tipo F (1 a 5 Unidades)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</si>
  <si>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</si>
  <si>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</si>
  <si>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</si>
  <si>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</si>
  <si>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</si>
  <si>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</si>
  <si>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</si>
  <si>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</si>
  <si>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</si>
  <si>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Elegir el cuerpo docente</t>
  </si>
  <si>
    <t xml:space="preserve">  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</si>
  <si>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</si>
  <si>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</si>
  <si>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</si>
  <si>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</si>
  <si>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</si>
  <si>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</si>
  <si>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</si>
  <si>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</si>
  <si>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</si>
  <si>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</si>
  <si>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</si>
  <si>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</si>
  <si>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</si>
  <si>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</si>
  <si>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</si>
  <si>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</si>
  <si>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</si>
  <si>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</si>
  <si>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</si>
  <si>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</si>
  <si>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</si>
  <si>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</si>
  <si>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</si>
  <si>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</si>
  <si>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</si>
  <si>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</si>
  <si>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</si>
  <si>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</si>
  <si>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</si>
  <si>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</si>
  <si>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</si>
  <si>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</si>
  <si>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</si>
  <si>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</si>
  <si>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</si>
  <si>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</si>
  <si>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</si>
  <si>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SUELDO BRUTO ANUAL. Año completo</t>
  </si>
  <si>
    <t>Extra Sueldo Base</t>
  </si>
  <si>
    <t>Edad</t>
  </si>
  <si>
    <t>SI</t>
  </si>
  <si>
    <t>Carrera (posterior a 1 enero 2011)</t>
  </si>
  <si>
    <t>Otro complemento no incluido en relación anterior, introducirlo</t>
  </si>
  <si>
    <t>Coordinador de Servicios Centrales. Tipo A1 (A)</t>
  </si>
  <si>
    <t>Coordinador de Servicios Centrales. Tipo A2 (B)</t>
  </si>
  <si>
    <t>Agosto</t>
  </si>
  <si>
    <t>Incremento 2016 a 2017</t>
  </si>
  <si>
    <t>Años de servicio</t>
  </si>
  <si>
    <t>Isla No Capitalina</t>
  </si>
  <si>
    <t>Incremento Bruto Mensual</t>
  </si>
  <si>
    <t>Incremento Bruto Anual</t>
  </si>
  <si>
    <t>Elaborado por DOCENTES DE CANARIAS-INSUCAN</t>
  </si>
  <si>
    <t>Años de Servicio a efectos de trienios y sexenios</t>
  </si>
  <si>
    <t>Enlace a web para calcular el % IRPF 2018</t>
  </si>
  <si>
    <r>
      <rPr>
        <sz val="10"/>
        <color indexed="8"/>
        <rFont val="Verdana"/>
        <family val="2"/>
      </rPr>
      <t xml:space="preserve">Elaborado por </t>
    </r>
    <r>
      <rPr>
        <b/>
        <sz val="10"/>
        <color indexed="8"/>
        <rFont val="Verdana"/>
        <family val="2"/>
      </rPr>
      <t>DOCENTES DE CANARIAS-INSUCAN</t>
    </r>
  </si>
  <si>
    <t>Estimación % de retención de IRPF. Año 2018</t>
  </si>
  <si>
    <t>1 sexenio</t>
  </si>
  <si>
    <t>2 sexenios</t>
  </si>
  <si>
    <t>3 sexenios</t>
  </si>
  <si>
    <t>4 sexenios</t>
  </si>
  <si>
    <t>Días trabajados en el mes</t>
  </si>
  <si>
    <t>Nómina por días 2018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</si>
  <si>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</si>
  <si>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</si>
  <si>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</si>
  <si>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</si>
  <si>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</si>
  <si>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</si>
  <si>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</si>
  <si>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</si>
  <si>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</si>
  <si>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</si>
  <si>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</si>
  <si>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</si>
  <si>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Isla Capitalina</t>
  </si>
  <si>
    <t>Clase Pasivas</t>
  </si>
  <si>
    <t>Sexenios</t>
  </si>
  <si>
    <t>Canarias 2018</t>
  </si>
  <si>
    <t>Adicional Complememto específico</t>
  </si>
  <si>
    <t>Extra complememto Destino</t>
  </si>
  <si>
    <t>Extra sexenio</t>
  </si>
  <si>
    <t>Dias a trabajar del 1 septiembre al 31 diciembre 2018</t>
  </si>
  <si>
    <t>Para cálculo de la base cotización de paga extra diciembre</t>
  </si>
  <si>
    <t>Importe</t>
  </si>
  <si>
    <t>Retribuciones brutas:</t>
  </si>
  <si>
    <t>Contingencias Comunes a la Seguridad Social:</t>
  </si>
  <si>
    <t xml:space="preserve">Cuota Desempleo: </t>
  </si>
  <si>
    <t xml:space="preserve">Cuota Formación Profesional: </t>
  </si>
  <si>
    <t>Total</t>
  </si>
  <si>
    <t>Contingencias Comunes: 4,7% y 23,6%</t>
  </si>
  <si>
    <t>Cuota Desempleo: 1,55% y 5,5%</t>
  </si>
  <si>
    <t>Seguridad social a cargo de la empresa</t>
  </si>
  <si>
    <t>RESUMEN DE IMPORTES A INCLUIR EN LA RECLAMACIÓN PATRIMONIAL</t>
  </si>
  <si>
    <t>INTERINOS</t>
  </si>
  <si>
    <t>FUNCIONARIOS EN PRÁCTICAS</t>
  </si>
  <si>
    <t>MUFACE y Seguridad social a cargo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</si>
</sst>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"/>
    <numFmt numFmtId="166" formatCode="#,##0.00_ ;[Red]\-#,##0.00\ "/>
    <numFmt numFmtId="167" formatCode="#,##0.000"/>
  </numFmts>
  <fonts count="3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Calibri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.45"/>
      <color theme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0"/>
      <color rgb="FF00000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3">
    <xf numFmtId="0" fontId="0" fillId="0" borderId="0" xfId="0"/>
    <xf numFmtId="0" fontId="10" fillId="2" borderId="0" xfId="0" applyFont="1" applyFill="1" applyProtection="1">
      <protection hidden="1"/>
    </xf>
    <xf numFmtId="0" fontId="10" fillId="2" borderId="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1" fillId="3" borderId="0" xfId="0" applyFont="1" applyFill="1" applyBorder="1" applyAlignment="1" applyProtection="1">
      <protection hidden="1"/>
    </xf>
    <xf numFmtId="4" fontId="1" fillId="2" borderId="0" xfId="0" applyNumberFormat="1" applyFont="1" applyFill="1" applyBorder="1" applyAlignment="1" applyProtection="1">
      <alignment horizontal="right" wrapText="1" inden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0" fillId="4" borderId="2" xfId="0" applyFont="1" applyFill="1" applyBorder="1" applyProtection="1">
      <protection hidden="1"/>
    </xf>
    <xf numFmtId="0" fontId="12" fillId="5" borderId="24" xfId="0" applyFont="1" applyFill="1" applyBorder="1" applyAlignment="1" applyProtection="1">
      <alignment horizontal="left" wrapText="1"/>
      <protection hidden="1"/>
    </xf>
    <xf numFmtId="0" fontId="11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11" fillId="6" borderId="3" xfId="0" applyNumberFormat="1" applyFont="1" applyFill="1" applyBorder="1" applyAlignment="1" applyProtection="1">
      <alignment horizontal="center"/>
      <protection hidden="1"/>
    </xf>
    <xf numFmtId="9" fontId="10" fillId="2" borderId="0" xfId="3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8" borderId="1" xfId="0" applyFont="1" applyFill="1" applyBorder="1" applyAlignment="1" applyProtection="1"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0" fontId="13" fillId="8" borderId="1" xfId="0" applyFont="1" applyFill="1" applyBorder="1" applyAlignment="1" applyProtection="1">
      <alignment horizontal="left"/>
      <protection hidden="1"/>
    </xf>
    <xf numFmtId="0" fontId="13" fillId="8" borderId="5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10" fillId="10" borderId="0" xfId="0" applyFont="1" applyFill="1" applyProtection="1">
      <protection hidden="1"/>
    </xf>
    <xf numFmtId="0" fontId="10" fillId="11" borderId="0" xfId="0" applyFont="1" applyFill="1" applyProtection="1">
      <protection hidden="1"/>
    </xf>
    <xf numFmtId="0" fontId="10" fillId="12" borderId="0" xfId="0" applyFont="1" applyFill="1" applyProtection="1">
      <protection hidden="1"/>
    </xf>
    <xf numFmtId="0" fontId="10" fillId="13" borderId="0" xfId="0" applyFont="1" applyFill="1" applyProtection="1">
      <protection hidden="1"/>
    </xf>
    <xf numFmtId="0" fontId="10" fillId="14" borderId="0" xfId="0" applyFont="1" applyFill="1" applyProtection="1">
      <protection hidden="1"/>
    </xf>
    <xf numFmtId="0" fontId="10" fillId="15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2" fillId="5" borderId="25" xfId="0" applyFont="1" applyFill="1" applyBorder="1" applyAlignment="1" applyProtection="1">
      <alignment horizontal="left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4" fillId="8" borderId="7" xfId="0" applyFont="1" applyFill="1" applyBorder="1" applyAlignment="1" applyProtection="1">
      <alignment horizontal="center" vertical="center" wrapText="1"/>
      <protection hidden="1"/>
    </xf>
    <xf numFmtId="0" fontId="15" fillId="8" borderId="8" xfId="0" applyFont="1" applyFill="1" applyBorder="1" applyAlignment="1" applyProtection="1">
      <alignment horizontal="center" vertical="center" wrapText="1"/>
      <protection hidden="1"/>
    </xf>
    <xf numFmtId="0" fontId="16" fillId="16" borderId="9" xfId="0" applyFont="1" applyFill="1" applyBorder="1" applyAlignment="1" applyProtection="1">
      <alignment horizontal="left" vertical="center" wrapText="1"/>
      <protection hidden="1"/>
    </xf>
    <xf numFmtId="0" fontId="16" fillId="16" borderId="10" xfId="0" applyFont="1" applyFill="1" applyBorder="1" applyAlignment="1" applyProtection="1">
      <alignment horizontal="left" vertical="center" wrapText="1"/>
      <protection hidden="1"/>
    </xf>
    <xf numFmtId="0" fontId="16" fillId="16" borderId="11" xfId="0" applyFont="1" applyFill="1" applyBorder="1" applyAlignment="1" applyProtection="1">
      <alignment horizontal="left" vertical="center" wrapText="1"/>
      <protection hidden="1"/>
    </xf>
    <xf numFmtId="0" fontId="16" fillId="11" borderId="12" xfId="0" applyFont="1" applyFill="1" applyBorder="1" applyAlignment="1" applyProtection="1">
      <alignment horizontal="left" vertical="center" wrapText="1"/>
      <protection hidden="1"/>
    </xf>
    <xf numFmtId="0" fontId="16" fillId="11" borderId="10" xfId="0" applyFont="1" applyFill="1" applyBorder="1" applyAlignment="1" applyProtection="1">
      <alignment horizontal="left" vertical="center" wrapText="1"/>
      <protection hidden="1"/>
    </xf>
    <xf numFmtId="0" fontId="16" fillId="11" borderId="11" xfId="0" applyFont="1" applyFill="1" applyBorder="1" applyAlignment="1" applyProtection="1">
      <alignment horizontal="left" vertical="center" wrapText="1"/>
      <protection hidden="1"/>
    </xf>
    <xf numFmtId="0" fontId="15" fillId="17" borderId="12" xfId="0" applyFont="1" applyFill="1" applyBorder="1" applyAlignment="1" applyProtection="1">
      <alignment horizontal="center" vertical="center" wrapText="1"/>
      <protection hidden="1"/>
    </xf>
    <xf numFmtId="0" fontId="15" fillId="17" borderId="11" xfId="0" applyFont="1" applyFill="1" applyBorder="1" applyAlignment="1" applyProtection="1">
      <alignment horizontal="center" vertical="center" wrapText="1"/>
      <protection hidden="1"/>
    </xf>
    <xf numFmtId="0" fontId="16" fillId="17" borderId="13" xfId="0" applyFont="1" applyFill="1" applyBorder="1" applyAlignment="1" applyProtection="1">
      <alignment horizontal="left" vertical="center" wrapText="1"/>
      <protection hidden="1"/>
    </xf>
    <xf numFmtId="0" fontId="15" fillId="18" borderId="8" xfId="0" applyFont="1" applyFill="1" applyBorder="1" applyAlignment="1" applyProtection="1">
      <alignment horizontal="center" vertical="center" wrapText="1"/>
      <protection hidden="1"/>
    </xf>
    <xf numFmtId="0" fontId="16" fillId="18" borderId="13" xfId="0" applyFont="1" applyFill="1" applyBorder="1" applyAlignment="1" applyProtection="1">
      <alignment horizontal="left" vertical="center" wrapText="1"/>
      <protection hidden="1"/>
    </xf>
    <xf numFmtId="0" fontId="15" fillId="19" borderId="8" xfId="0" applyFont="1" applyFill="1" applyBorder="1" applyAlignment="1" applyProtection="1">
      <alignment horizontal="center" vertical="center" wrapText="1"/>
      <protection hidden="1"/>
    </xf>
    <xf numFmtId="0" fontId="16" fillId="19" borderId="9" xfId="0" applyFont="1" applyFill="1" applyBorder="1" applyAlignment="1" applyProtection="1">
      <alignment horizontal="left" vertical="center" wrapText="1"/>
      <protection hidden="1"/>
    </xf>
    <xf numFmtId="0" fontId="16" fillId="19" borderId="13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Protection="1">
      <protection hidden="1"/>
    </xf>
    <xf numFmtId="3" fontId="14" fillId="19" borderId="0" xfId="0" applyNumberFormat="1" applyFont="1" applyFill="1" applyBorder="1" applyAlignment="1" applyProtection="1">
      <alignment horizontal="center" vertical="center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11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8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0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0" fontId="14" fillId="0" borderId="0" xfId="0" applyFont="1" applyAlignment="1" applyProtection="1">
      <alignment horizontal="center"/>
      <protection hidden="1"/>
    </xf>
    <xf numFmtId="8" fontId="14" fillId="17" borderId="4" xfId="0" applyNumberFormat="1" applyFont="1" applyFill="1" applyBorder="1" applyAlignment="1" applyProtection="1">
      <alignment horizontal="center"/>
      <protection hidden="1"/>
    </xf>
    <xf numFmtId="4" fontId="10" fillId="2" borderId="0" xfId="3" applyNumberFormat="1" applyFont="1" applyFill="1" applyBorder="1" applyProtection="1">
      <protection hidden="1"/>
    </xf>
    <xf numFmtId="164" fontId="10" fillId="2" borderId="0" xfId="3" applyNumberFormat="1" applyFont="1" applyFill="1" applyBorder="1" applyProtection="1">
      <protection hidden="1"/>
    </xf>
    <xf numFmtId="0" fontId="5" fillId="21" borderId="14" xfId="0" applyFont="1" applyFill="1" applyBorder="1" applyAlignment="1" applyProtection="1">
      <protection hidden="1"/>
    </xf>
    <xf numFmtId="4" fontId="11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20" borderId="1" xfId="0" applyFont="1" applyFill="1" applyBorder="1" applyAlignment="1" applyProtection="1">
      <alignment horizontal="left" wrapText="1"/>
      <protection hidden="1"/>
    </xf>
    <xf numFmtId="8" fontId="10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4" fontId="18" fillId="0" borderId="0" xfId="0" applyNumberFormat="1" applyFont="1"/>
    <xf numFmtId="0" fontId="7" fillId="0" borderId="0" xfId="0" applyFont="1" applyAlignment="1" applyProtection="1">
      <alignment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4" fontId="17" fillId="0" borderId="0" xfId="0" applyNumberFormat="1" applyFont="1" applyProtection="1">
      <protection hidden="1"/>
    </xf>
    <xf numFmtId="0" fontId="17" fillId="2" borderId="0" xfId="0" applyFont="1" applyFill="1" applyProtection="1">
      <protection hidden="1"/>
    </xf>
    <xf numFmtId="8" fontId="17" fillId="0" borderId="0" xfId="0" applyNumberFormat="1" applyFont="1" applyProtection="1">
      <protection hidden="1"/>
    </xf>
    <xf numFmtId="0" fontId="19" fillId="8" borderId="8" xfId="0" applyFont="1" applyFill="1" applyBorder="1" applyAlignment="1" applyProtection="1">
      <alignment horizontal="center" vertical="center" wrapText="1"/>
      <protection hidden="1"/>
    </xf>
    <xf numFmtId="0" fontId="20" fillId="16" borderId="9" xfId="0" applyFont="1" applyFill="1" applyBorder="1" applyAlignment="1" applyProtection="1">
      <alignment horizontal="left" vertical="center" wrapText="1"/>
      <protection hidden="1"/>
    </xf>
    <xf numFmtId="0" fontId="20" fillId="16" borderId="10" xfId="0" applyFont="1" applyFill="1" applyBorder="1" applyAlignment="1" applyProtection="1">
      <alignment horizontal="left" vertical="center" wrapText="1"/>
      <protection hidden="1"/>
    </xf>
    <xf numFmtId="0" fontId="20" fillId="16" borderId="11" xfId="0" applyFont="1" applyFill="1" applyBorder="1" applyAlignment="1" applyProtection="1">
      <alignment horizontal="left" vertical="center" wrapText="1"/>
      <protection hidden="1"/>
    </xf>
    <xf numFmtId="0" fontId="20" fillId="11" borderId="12" xfId="0" applyFont="1" applyFill="1" applyBorder="1" applyAlignment="1" applyProtection="1">
      <alignment horizontal="left" vertical="center" wrapText="1"/>
      <protection hidden="1"/>
    </xf>
    <xf numFmtId="4" fontId="17" fillId="2" borderId="17" xfId="2" applyNumberFormat="1" applyFont="1" applyFill="1" applyBorder="1" applyAlignment="1" applyProtection="1">
      <alignment horizontal="center" vertical="center"/>
      <protection hidden="1"/>
    </xf>
    <xf numFmtId="0" fontId="20" fillId="11" borderId="10" xfId="0" applyFont="1" applyFill="1" applyBorder="1" applyAlignment="1" applyProtection="1">
      <alignment horizontal="left" vertical="center" wrapText="1"/>
      <protection hidden="1"/>
    </xf>
    <xf numFmtId="4" fontId="17" fillId="2" borderId="14" xfId="2" applyNumberFormat="1" applyFont="1" applyFill="1" applyBorder="1" applyAlignment="1" applyProtection="1">
      <alignment horizontal="center"/>
      <protection hidden="1"/>
    </xf>
    <xf numFmtId="0" fontId="20" fillId="11" borderId="11" xfId="0" applyFont="1" applyFill="1" applyBorder="1" applyAlignment="1" applyProtection="1">
      <alignment horizontal="left" vertical="center" wrapText="1"/>
      <protection hidden="1"/>
    </xf>
    <xf numFmtId="0" fontId="19" fillId="17" borderId="12" xfId="0" applyFont="1" applyFill="1" applyBorder="1" applyAlignment="1" applyProtection="1">
      <alignment horizontal="center" vertical="center" wrapText="1"/>
      <protection hidden="1"/>
    </xf>
    <xf numFmtId="0" fontId="19" fillId="17" borderId="11" xfId="0" applyFont="1" applyFill="1" applyBorder="1" applyAlignment="1" applyProtection="1">
      <alignment horizontal="center" vertical="center" wrapText="1"/>
      <protection hidden="1"/>
    </xf>
    <xf numFmtId="0" fontId="20" fillId="17" borderId="13" xfId="0" applyFont="1" applyFill="1" applyBorder="1" applyAlignment="1" applyProtection="1">
      <alignment horizontal="left" vertical="center" wrapText="1"/>
      <protection hidden="1"/>
    </xf>
    <xf numFmtId="0" fontId="19" fillId="18" borderId="8" xfId="0" applyFont="1" applyFill="1" applyBorder="1" applyAlignment="1" applyProtection="1">
      <alignment horizontal="center" vertical="center" wrapText="1"/>
      <protection hidden="1"/>
    </xf>
    <xf numFmtId="0" fontId="20" fillId="18" borderId="13" xfId="0" applyFont="1" applyFill="1" applyBorder="1" applyAlignment="1" applyProtection="1">
      <alignment horizontal="left" vertical="center" wrapText="1"/>
      <protection hidden="1"/>
    </xf>
    <xf numFmtId="0" fontId="19" fillId="19" borderId="8" xfId="0" applyFont="1" applyFill="1" applyBorder="1" applyAlignment="1" applyProtection="1">
      <alignment horizontal="center" vertical="center" wrapText="1"/>
      <protection hidden="1"/>
    </xf>
    <xf numFmtId="0" fontId="20" fillId="19" borderId="9" xfId="0" applyFont="1" applyFill="1" applyBorder="1" applyAlignment="1" applyProtection="1">
      <alignment horizontal="left" vertical="center" wrapText="1"/>
      <protection hidden="1"/>
    </xf>
    <xf numFmtId="0" fontId="20" fillId="19" borderId="13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wrapText="1"/>
      <protection hidden="1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19" fillId="8" borderId="18" xfId="0" applyFont="1" applyFill="1" applyBorder="1" applyAlignment="1" applyProtection="1">
      <alignment horizontal="center" vertical="center" wrapText="1"/>
      <protection hidden="1"/>
    </xf>
    <xf numFmtId="0" fontId="21" fillId="2" borderId="3" xfId="0" applyFont="1" applyFill="1" applyBorder="1" applyAlignment="1" applyProtection="1">
      <alignment horizontal="center" vertical="center" wrapText="1"/>
      <protection hidden="1"/>
    </xf>
    <xf numFmtId="0" fontId="1" fillId="23" borderId="1" xfId="0" applyFont="1" applyFill="1" applyBorder="1" applyAlignment="1" applyProtection="1">
      <alignment horizontal="left" vertical="center"/>
      <protection hidden="1"/>
    </xf>
    <xf numFmtId="0" fontId="10" fillId="23" borderId="1" xfId="0" applyFont="1" applyFill="1" applyBorder="1" applyAlignment="1" applyProtection="1">
      <alignment horizontal="left" vertical="center"/>
      <protection hidden="1"/>
    </xf>
    <xf numFmtId="0" fontId="1" fillId="23" borderId="19" xfId="0" applyFont="1" applyFill="1" applyBorder="1" applyAlignment="1" applyProtection="1">
      <alignment horizontal="left" vertical="center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Protection="1">
      <protection hidden="1"/>
    </xf>
    <xf numFmtId="0" fontId="22" fillId="2" borderId="0" xfId="0" applyFont="1" applyFill="1" applyBorder="1" applyProtection="1">
      <protection hidden="1"/>
    </xf>
    <xf numFmtId="0" fontId="24" fillId="2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2" fontId="0" fillId="9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>
      <protection hidden="1"/>
    </xf>
    <xf numFmtId="0" fontId="27" fillId="25" borderId="3" xfId="0" applyFont="1" applyFill="1" applyBorder="1" applyAlignment="1" applyProtection="1">
      <alignment horizontal="center"/>
      <protection hidden="1"/>
    </xf>
    <xf numFmtId="0" fontId="27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26" borderId="3" xfId="0" applyNumberFormat="1" applyFill="1" applyBorder="1" applyProtection="1">
      <protection hidden="1"/>
    </xf>
    <xf numFmtId="0" fontId="27" fillId="0" borderId="3" xfId="0" applyFont="1" applyBorder="1" applyProtection="1">
      <protection hidden="1"/>
    </xf>
    <xf numFmtId="10" fontId="0" fillId="0" borderId="0" xfId="3" applyNumberFormat="1" applyFont="1" applyProtection="1">
      <protection hidden="1"/>
    </xf>
    <xf numFmtId="3" fontId="27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27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27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31" fillId="0" borderId="1" xfId="0" applyFont="1" applyBorder="1" applyAlignment="1" applyProtection="1">
      <alignment horizontal="center" wrapText="1"/>
      <protection hidden="1"/>
    </xf>
    <xf numFmtId="10" fontId="30" fillId="2" borderId="3" xfId="3" applyNumberFormat="1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Protection="1">
      <protection hidden="1"/>
    </xf>
    <xf numFmtId="0" fontId="12" fillId="5" borderId="25" xfId="0" applyFont="1" applyFill="1" applyBorder="1" applyAlignment="1" applyProtection="1">
      <alignment horizontal="left" vertical="center" wrapText="1"/>
      <protection hidden="1"/>
    </xf>
    <xf numFmtId="10" fontId="1" fillId="7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23" borderId="1" xfId="0" applyFont="1" applyFill="1" applyBorder="1" applyAlignment="1" applyProtection="1">
      <alignment horizontal="left" vertical="center"/>
      <protection hidden="1"/>
    </xf>
    <xf numFmtId="9" fontId="10" fillId="17" borderId="3" xfId="3" applyFont="1" applyFill="1" applyBorder="1" applyAlignment="1" applyProtection="1">
      <protection hidden="1"/>
    </xf>
    <xf numFmtId="9" fontId="11" fillId="17" borderId="3" xfId="3" applyFont="1" applyFill="1" applyBorder="1" applyAlignment="1" applyProtection="1">
      <alignment horizontal="center"/>
      <protection hidden="1"/>
    </xf>
    <xf numFmtId="0" fontId="10" fillId="20" borderId="3" xfId="0" applyFont="1" applyFill="1" applyBorder="1" applyProtection="1">
      <protection hidden="1"/>
    </xf>
    <xf numFmtId="0" fontId="2" fillId="20" borderId="3" xfId="0" applyFont="1" applyFill="1" applyBorder="1" applyAlignment="1" applyProtection="1">
      <alignment horizontal="center" wrapText="1"/>
      <protection hidden="1"/>
    </xf>
    <xf numFmtId="4" fontId="32" fillId="0" borderId="0" xfId="0" applyNumberFormat="1" applyFont="1" applyProtection="1">
      <protection hidden="1"/>
    </xf>
    <xf numFmtId="0" fontId="27" fillId="0" borderId="4" xfId="0" applyFont="1" applyBorder="1" applyAlignment="1" applyProtection="1">
      <alignment horizontal="center"/>
      <protection hidden="1"/>
    </xf>
    <xf numFmtId="0" fontId="32" fillId="2" borderId="4" xfId="0" applyFont="1" applyFill="1" applyBorder="1" applyAlignment="1" applyProtection="1">
      <alignment horizontal="center"/>
      <protection hidden="1"/>
    </xf>
    <xf numFmtId="166" fontId="0" fillId="2" borderId="3" xfId="0" applyNumberForma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32" fillId="2" borderId="3" xfId="0" applyFont="1" applyFill="1" applyBorder="1" applyAlignment="1" applyProtection="1">
      <alignment horizontal="center"/>
      <protection hidden="1"/>
    </xf>
    <xf numFmtId="0" fontId="27" fillId="0" borderId="0" xfId="0" applyNumberFormat="1" applyFont="1" applyProtection="1">
      <protection hidden="1"/>
    </xf>
    <xf numFmtId="164" fontId="10" fillId="2" borderId="3" xfId="3" applyNumberFormat="1" applyFont="1" applyFill="1" applyBorder="1" applyAlignment="1" applyProtection="1">
      <alignment horizontal="left" vertical="center"/>
      <protection hidden="1"/>
    </xf>
    <xf numFmtId="0" fontId="10" fillId="2" borderId="3" xfId="0" applyFont="1" applyFill="1" applyBorder="1" applyAlignment="1" applyProtection="1">
      <alignment horizontal="left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4" fontId="11" fillId="22" borderId="3" xfId="0" applyNumberFormat="1" applyFont="1" applyFill="1" applyBorder="1" applyAlignment="1" applyProtection="1">
      <alignment horizontal="center"/>
      <protection hidden="1"/>
    </xf>
    <xf numFmtId="0" fontId="0" fillId="29" borderId="3" xfId="0" applyFill="1" applyBorder="1" applyProtection="1">
      <protection hidden="1"/>
    </xf>
    <xf numFmtId="0" fontId="27" fillId="8" borderId="3" xfId="0" applyFont="1" applyFill="1" applyBorder="1" applyAlignment="1" applyProtection="1">
      <alignment horizontal="center" vertical="center"/>
      <protection hidden="1"/>
    </xf>
    <xf numFmtId="0" fontId="27" fillId="8" borderId="3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 wrapText="1"/>
      <protection hidden="1"/>
    </xf>
    <xf numFmtId="167" fontId="1" fillId="2" borderId="3" xfId="0" applyNumberFormat="1" applyFont="1" applyFill="1" applyBorder="1" applyAlignment="1" applyProtection="1">
      <alignment horizontal="center" wrapText="1"/>
      <protection hidden="1"/>
    </xf>
    <xf numFmtId="164" fontId="1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2" fontId="0" fillId="2" borderId="0" xfId="0" applyNumberFormat="1" applyFill="1" applyProtection="1">
      <protection hidden="1"/>
    </xf>
    <xf numFmtId="2" fontId="0" fillId="9" borderId="0" xfId="0" applyNumberFormat="1" applyFont="1" applyFill="1" applyProtection="1">
      <protection hidden="1"/>
    </xf>
    <xf numFmtId="2" fontId="0" fillId="2" borderId="0" xfId="0" applyNumberFormat="1" applyFont="1" applyFill="1" applyProtection="1">
      <protection hidden="1"/>
    </xf>
    <xf numFmtId="0" fontId="0" fillId="9" borderId="0" xfId="0" applyFont="1" applyFill="1" applyProtection="1">
      <protection hidden="1"/>
    </xf>
    <xf numFmtId="8" fontId="0" fillId="9" borderId="0" xfId="0" applyNumberFormat="1" applyFont="1" applyFill="1" applyProtection="1">
      <protection hidden="1"/>
    </xf>
    <xf numFmtId="0" fontId="0" fillId="27" borderId="3" xfId="0" applyFill="1" applyBorder="1" applyAlignment="1" applyProtection="1">
      <alignment horizontal="center" vertical="center" wrapText="1"/>
      <protection hidden="1"/>
    </xf>
    <xf numFmtId="166" fontId="0" fillId="0" borderId="3" xfId="0" applyNumberFormat="1" applyBorder="1" applyProtection="1"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14" fontId="10" fillId="9" borderId="3" xfId="0" applyNumberFormat="1" applyFont="1" applyFill="1" applyBorder="1" applyAlignment="1" applyProtection="1">
      <alignment horizontal="center"/>
      <protection hidden="1"/>
    </xf>
    <xf numFmtId="0" fontId="0" fillId="28" borderId="3" xfId="0" applyFill="1" applyBorder="1" applyAlignment="1" applyProtection="1">
      <alignment horizontal="center"/>
      <protection hidden="1"/>
    </xf>
    <xf numFmtId="4" fontId="0" fillId="26" borderId="4" xfId="0" applyNumberFormat="1" applyFill="1" applyBorder="1" applyAlignment="1" applyProtection="1">
      <alignment vertical="center"/>
      <protection hidden="1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4" fillId="2" borderId="3" xfId="0" applyFont="1" applyFill="1" applyBorder="1" applyProtection="1">
      <protection hidden="1"/>
    </xf>
    <xf numFmtId="2" fontId="10" fillId="2" borderId="0" xfId="0" applyNumberFormat="1" applyFont="1" applyFill="1" applyProtection="1">
      <protection hidden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7" fillId="3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5" fillId="31" borderId="3" xfId="0" applyFont="1" applyFill="1" applyBorder="1" applyAlignment="1" applyProtection="1">
      <alignment horizontal="center" vertical="center" wrapText="1"/>
      <protection hidden="1"/>
    </xf>
    <xf numFmtId="0" fontId="35" fillId="32" borderId="3" xfId="0" applyFont="1" applyFill="1" applyBorder="1" applyAlignment="1" applyProtection="1">
      <alignment horizontal="center" vertical="center" wrapText="1"/>
      <protection hidden="1"/>
    </xf>
    <xf numFmtId="0" fontId="35" fillId="33" borderId="3" xfId="0" applyFont="1" applyFill="1" applyBorder="1" applyAlignment="1" applyProtection="1">
      <alignment horizontal="center" vertical="center" wrapText="1"/>
      <protection hidden="1"/>
    </xf>
    <xf numFmtId="0" fontId="35" fillId="34" borderId="3" xfId="0" applyFont="1" applyFill="1" applyBorder="1" applyAlignment="1" applyProtection="1">
      <alignment horizontal="center" vertical="center" wrapText="1"/>
      <protection hidden="1"/>
    </xf>
    <xf numFmtId="0" fontId="35" fillId="16" borderId="3" xfId="0" applyFont="1" applyFill="1" applyBorder="1" applyAlignment="1" applyProtection="1">
      <alignment horizontal="center" vertical="center" wrapText="1"/>
      <protection hidden="1"/>
    </xf>
    <xf numFmtId="0" fontId="36" fillId="10" borderId="3" xfId="0" applyFont="1" applyFill="1" applyBorder="1" applyAlignment="1" applyProtection="1">
      <alignment horizontal="center" vertical="center" wrapText="1"/>
      <protection hidden="1"/>
    </xf>
    <xf numFmtId="0" fontId="35" fillId="35" borderId="2" xfId="0" applyFont="1" applyFill="1" applyBorder="1" applyAlignment="1" applyProtection="1">
      <alignment horizontal="center" vertical="center" wrapText="1"/>
      <protection hidden="1"/>
    </xf>
    <xf numFmtId="0" fontId="35" fillId="36" borderId="3" xfId="0" applyFont="1" applyFill="1" applyBorder="1" applyAlignment="1" applyProtection="1">
      <alignment horizontal="center" vertical="center" wrapText="1"/>
      <protection hidden="1"/>
    </xf>
    <xf numFmtId="0" fontId="35" fillId="37" borderId="3" xfId="0" applyFont="1" applyFill="1" applyBorder="1" applyAlignment="1" applyProtection="1">
      <alignment horizontal="center" vertical="center" wrapText="1"/>
      <protection hidden="1"/>
    </xf>
    <xf numFmtId="0" fontId="37" fillId="38" borderId="3" xfId="0" applyFont="1" applyFill="1" applyBorder="1" applyAlignment="1" applyProtection="1">
      <alignment horizontal="center" vertical="center"/>
      <protection hidden="1"/>
    </xf>
    <xf numFmtId="0" fontId="37" fillId="38" borderId="3" xfId="0" applyFont="1" applyFill="1" applyBorder="1" applyAlignment="1" applyProtection="1">
      <alignment horizontal="center" vertical="center" wrapText="1"/>
      <protection hidden="1"/>
    </xf>
    <xf numFmtId="0" fontId="32" fillId="39" borderId="3" xfId="0" applyFont="1" applyFill="1" applyBorder="1" applyAlignment="1" applyProtection="1">
      <alignment horizontal="center" vertical="top" wrapText="1"/>
      <protection hidden="1"/>
    </xf>
    <xf numFmtId="4" fontId="32" fillId="6" borderId="3" xfId="0" applyNumberFormat="1" applyFont="1" applyFill="1" applyBorder="1" applyAlignment="1" applyProtection="1">
      <alignment horizontal="center" vertical="top"/>
      <protection hidden="1"/>
    </xf>
    <xf numFmtId="4" fontId="32" fillId="2" borderId="3" xfId="0" applyNumberFormat="1" applyFont="1" applyFill="1" applyBorder="1" applyAlignment="1" applyProtection="1">
      <alignment horizontal="center" vertical="top"/>
      <protection hidden="1"/>
    </xf>
    <xf numFmtId="4" fontId="32" fillId="2" borderId="3" xfId="0" applyNumberFormat="1" applyFont="1" applyFill="1" applyBorder="1" applyAlignment="1" applyProtection="1">
      <alignment horizontal="center" vertical="top" wrapText="1"/>
      <protection hidden="1"/>
    </xf>
    <xf numFmtId="4" fontId="36" fillId="6" borderId="3" xfId="0" applyNumberFormat="1" applyFont="1" applyFill="1" applyBorder="1" applyAlignment="1" applyProtection="1">
      <alignment horizontal="center" vertical="top" wrapText="1"/>
      <protection hidden="1"/>
    </xf>
    <xf numFmtId="4" fontId="32" fillId="6" borderId="3" xfId="0" applyNumberFormat="1" applyFont="1" applyFill="1" applyBorder="1" applyAlignment="1" applyProtection="1">
      <alignment horizontal="center"/>
      <protection hidden="1"/>
    </xf>
    <xf numFmtId="4" fontId="32" fillId="6" borderId="1" xfId="0" applyNumberFormat="1" applyFont="1" applyFill="1" applyBorder="1" applyAlignment="1" applyProtection="1">
      <alignment horizontal="center"/>
      <protection hidden="1"/>
    </xf>
    <xf numFmtId="4" fontId="36" fillId="2" borderId="3" xfId="0" applyNumberFormat="1" applyFont="1" applyFill="1" applyBorder="1" applyAlignment="1" applyProtection="1">
      <alignment horizontal="center" vertical="top" wrapText="1"/>
      <protection hidden="1"/>
    </xf>
    <xf numFmtId="0" fontId="32" fillId="6" borderId="3" xfId="0" applyFont="1" applyFill="1" applyBorder="1" applyAlignment="1" applyProtection="1">
      <alignment horizontal="center" vertical="top"/>
      <protection hidden="1"/>
    </xf>
    <xf numFmtId="0" fontId="7" fillId="8" borderId="3" xfId="0" applyFont="1" applyFill="1" applyBorder="1" applyAlignment="1" applyProtection="1">
      <alignment horizontal="center" vertical="center"/>
      <protection hidden="1"/>
    </xf>
    <xf numFmtId="4" fontId="17" fillId="2" borderId="0" xfId="2" applyNumberFormat="1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9" fontId="17" fillId="9" borderId="0" xfId="0" applyNumberFormat="1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10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11" fillId="8" borderId="5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horizontal="center" vertical="center"/>
      <protection hidden="1"/>
    </xf>
    <xf numFmtId="164" fontId="11" fillId="9" borderId="3" xfId="0" applyNumberFormat="1" applyFont="1" applyFill="1" applyBorder="1" applyAlignment="1" applyProtection="1">
      <alignment horizontal="center"/>
      <protection hidden="1"/>
    </xf>
    <xf numFmtId="164" fontId="10" fillId="9" borderId="3" xfId="0" applyNumberFormat="1" applyFont="1" applyFill="1" applyBorder="1" applyProtection="1">
      <protection hidden="1"/>
    </xf>
    <xf numFmtId="0" fontId="38" fillId="22" borderId="3" xfId="0" applyFont="1" applyFill="1" applyBorder="1" applyAlignment="1">
      <alignment vertical="center"/>
    </xf>
    <xf numFmtId="0" fontId="38" fillId="22" borderId="3" xfId="0" applyFont="1" applyFill="1" applyBorder="1" applyAlignment="1">
      <alignment horizontal="center" vertical="center"/>
    </xf>
    <xf numFmtId="0" fontId="38" fillId="22" borderId="3" xfId="0" applyFont="1" applyFill="1" applyBorder="1" applyAlignment="1">
      <alignment vertical="center" wrapText="1"/>
    </xf>
    <xf numFmtId="0" fontId="11" fillId="22" borderId="3" xfId="0" applyFont="1" applyFill="1" applyBorder="1" applyProtection="1">
      <protection hidden="1"/>
    </xf>
    <xf numFmtId="0" fontId="11" fillId="22" borderId="3" xfId="0" applyFont="1" applyFill="1" applyBorder="1" applyAlignment="1" applyProtection="1">
      <alignment horizontal="center"/>
      <protection hidden="1"/>
    </xf>
    <xf numFmtId="8" fontId="38" fillId="22" borderId="3" xfId="0" applyNumberFormat="1" applyFont="1" applyFill="1" applyBorder="1" applyAlignment="1">
      <alignment horizontal="center" vertical="center"/>
    </xf>
    <xf numFmtId="8" fontId="11" fillId="22" borderId="3" xfId="0" applyNumberFormat="1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1" fillId="22" borderId="3" xfId="0" applyFont="1" applyFill="1" applyBorder="1" applyAlignment="1" applyProtection="1">
      <alignment horizontal="left"/>
      <protection hidden="1"/>
    </xf>
    <xf numFmtId="0" fontId="25" fillId="27" borderId="15" xfId="0" applyFont="1" applyFill="1" applyBorder="1" applyAlignment="1" applyProtection="1">
      <alignment horizontal="center" vertical="center"/>
      <protection hidden="1"/>
    </xf>
    <xf numFmtId="0" fontId="25" fillId="27" borderId="20" xfId="0" applyFont="1" applyFill="1" applyBorder="1" applyAlignment="1" applyProtection="1">
      <alignment horizontal="center" vertical="center"/>
      <protection hidden="1"/>
    </xf>
    <xf numFmtId="0" fontId="25" fillId="27" borderId="16" xfId="0" applyFont="1" applyFill="1" applyBorder="1" applyAlignment="1" applyProtection="1">
      <alignment horizontal="center" vertical="center"/>
      <protection hidden="1"/>
    </xf>
    <xf numFmtId="0" fontId="26" fillId="27" borderId="21" xfId="0" applyFont="1" applyFill="1" applyBorder="1" applyAlignment="1" applyProtection="1">
      <alignment horizontal="center" vertical="center"/>
      <protection hidden="1"/>
    </xf>
    <xf numFmtId="0" fontId="26" fillId="27" borderId="22" xfId="0" applyFont="1" applyFill="1" applyBorder="1" applyAlignment="1" applyProtection="1">
      <alignment horizontal="center" vertical="center"/>
      <protection hidden="1"/>
    </xf>
    <xf numFmtId="0" fontId="26" fillId="27" borderId="23" xfId="0" applyFont="1" applyFill="1" applyBorder="1" applyAlignment="1" applyProtection="1">
      <alignment horizontal="center" vertical="center"/>
      <protection hidden="1"/>
    </xf>
    <xf numFmtId="0" fontId="6" fillId="24" borderId="1" xfId="0" applyFont="1" applyFill="1" applyBorder="1" applyAlignment="1" applyProtection="1">
      <alignment horizontal="left" wrapText="1"/>
      <protection locked="0"/>
    </xf>
    <xf numFmtId="0" fontId="6" fillId="24" borderId="2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9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0" fontId="10" fillId="24" borderId="6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9" fillId="2" borderId="1" xfId="1" applyFill="1" applyBorder="1" applyAlignment="1" applyProtection="1">
      <alignment horizontal="center" vertical="center"/>
      <protection hidden="1"/>
    </xf>
    <xf numFmtId="0" fontId="9" fillId="2" borderId="5" xfId="1" applyFill="1" applyBorder="1" applyAlignment="1" applyProtection="1">
      <alignment horizontal="center" vertical="center"/>
      <protection hidden="1"/>
    </xf>
    <xf numFmtId="0" fontId="9" fillId="2" borderId="2" xfId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2" fillId="17" borderId="1" xfId="0" applyFont="1" applyFill="1" applyBorder="1" applyAlignment="1" applyProtection="1">
      <alignment horizontal="center" wrapText="1"/>
      <protection hidden="1"/>
    </xf>
    <xf numFmtId="0" fontId="2" fillId="17" borderId="2" xfId="0" applyFont="1" applyFill="1" applyBorder="1" applyAlignment="1" applyProtection="1">
      <alignment horizontal="center" wrapText="1"/>
      <protection hidden="1"/>
    </xf>
    <xf numFmtId="0" fontId="12" fillId="40" borderId="3" xfId="0" applyFont="1" applyFill="1" applyBorder="1" applyAlignment="1" applyProtection="1">
      <alignment horizontal="center"/>
      <protection hidden="1"/>
    </xf>
    <xf numFmtId="0" fontId="12" fillId="41" borderId="3" xfId="0" applyFont="1" applyFill="1" applyBorder="1" applyAlignment="1" applyProtection="1">
      <alignment horizontal="center"/>
      <protection hidden="1"/>
    </xf>
    <xf numFmtId="164" fontId="10" fillId="9" borderId="15" xfId="3" applyNumberFormat="1" applyFont="1" applyFill="1" applyBorder="1" applyAlignment="1" applyProtection="1">
      <alignment horizontal="center" vertical="center" wrapText="1"/>
      <protection hidden="1"/>
    </xf>
    <xf numFmtId="164" fontId="10" fillId="9" borderId="20" xfId="3" applyNumberFormat="1" applyFont="1" applyFill="1" applyBorder="1" applyAlignment="1" applyProtection="1">
      <alignment horizontal="center" vertical="center" wrapText="1"/>
      <protection hidden="1"/>
    </xf>
    <xf numFmtId="164" fontId="10" fillId="9" borderId="16" xfId="3" applyNumberFormat="1" applyFont="1" applyFill="1" applyBorder="1" applyAlignment="1" applyProtection="1">
      <alignment horizontal="center" vertical="center" wrapText="1"/>
      <protection hidden="1"/>
    </xf>
    <xf numFmtId="164" fontId="10" fillId="9" borderId="21" xfId="3" applyNumberFormat="1" applyFont="1" applyFill="1" applyBorder="1" applyAlignment="1" applyProtection="1">
      <alignment horizontal="center" vertical="center" wrapText="1"/>
      <protection hidden="1"/>
    </xf>
    <xf numFmtId="164" fontId="10" fillId="9" borderId="22" xfId="3" applyNumberFormat="1" applyFont="1" applyFill="1" applyBorder="1" applyAlignment="1" applyProtection="1">
      <alignment horizontal="center" vertical="center" wrapText="1"/>
      <protection hidden="1"/>
    </xf>
    <xf numFmtId="164" fontId="10" fillId="9" borderId="23" xfId="3" applyNumberFormat="1" applyFont="1" applyFill="1" applyBorder="1" applyAlignment="1" applyProtection="1">
      <alignment horizontal="center" vertical="center" wrapText="1"/>
      <protection hidden="1"/>
    </xf>
    <xf numFmtId="0" fontId="1" fillId="22" borderId="1" xfId="0" applyFont="1" applyFill="1" applyBorder="1" applyAlignment="1" applyProtection="1">
      <alignment horizontal="center" wrapText="1"/>
      <protection hidden="1"/>
    </xf>
    <xf numFmtId="0" fontId="1" fillId="22" borderId="2" xfId="0" applyFont="1" applyFill="1" applyBorder="1" applyAlignment="1" applyProtection="1">
      <alignment horizontal="center" wrapText="1"/>
      <protection hidden="1"/>
    </xf>
    <xf numFmtId="164" fontId="30" fillId="25" borderId="3" xfId="0" applyNumberFormat="1" applyFont="1" applyFill="1" applyBorder="1" applyAlignment="1" applyProtection="1">
      <protection hidden="1"/>
    </xf>
    <xf numFmtId="4" fontId="0" fillId="26" borderId="3" xfId="0" applyNumberFormat="1" applyFill="1" applyBorder="1" applyAlignment="1" applyProtection="1">
      <alignment horizontal="right" vertical="center"/>
      <protection hidden="1"/>
    </xf>
    <xf numFmtId="0" fontId="28" fillId="22" borderId="19" xfId="0" applyFont="1" applyFill="1" applyBorder="1" applyAlignment="1" applyProtection="1">
      <alignment horizontal="center"/>
      <protection hidden="1"/>
    </xf>
    <xf numFmtId="0" fontId="28" fillId="22" borderId="0" xfId="0" applyFont="1" applyFill="1" applyBorder="1" applyAlignment="1" applyProtection="1">
      <alignment horizontal="center"/>
      <protection hidden="1"/>
    </xf>
    <xf numFmtId="0" fontId="29" fillId="9" borderId="3" xfId="0" applyFont="1" applyFill="1" applyBorder="1" applyAlignment="1" applyProtection="1">
      <alignment horizontal="center"/>
      <protection hidden="1"/>
    </xf>
    <xf numFmtId="0" fontId="27" fillId="0" borderId="22" xfId="0" applyFont="1" applyBorder="1" applyAlignment="1" applyProtection="1">
      <alignment horizontal="center"/>
      <protection hidden="1"/>
    </xf>
    <xf numFmtId="0" fontId="34" fillId="0" borderId="22" xfId="0" applyFont="1" applyBorder="1" applyAlignment="1" applyProtection="1">
      <alignment horizontal="center"/>
      <protection hidden="1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agenciatributaria.gob.es/wlpl/PRET-R160/index.zu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A168"/>
  <sheetViews>
    <sheetView tabSelected="1" showWhiteSpace="0" topLeftCell="A3" zoomScale="95" zoomScaleNormal="95" workbookViewId="0">
      <selection activeCell="C11" sqref="C11:D11"/>
    </sheetView>
  </sheetViews>
  <sheetFormatPr baseColWidth="10" defaultRowHeight="12.95" customHeight="1" x14ac:dyDescent="0.25"/>
  <cols>
    <col min="1" max="1" width="1.85546875" style="1" customWidth="1"/>
    <col min="2" max="2" width="56.7109375" style="1" customWidth="1"/>
    <col min="3" max="3" width="20.42578125" style="1" customWidth="1"/>
    <col min="4" max="5" width="17.85546875" style="1" customWidth="1"/>
    <col min="6" max="6" width="11.42578125" style="1" hidden="1" customWidth="1"/>
    <col min="7" max="7" width="25.42578125" style="1" bestFit="1" customWidth="1"/>
    <col min="8" max="8" width="10" style="1" hidden="1" customWidth="1"/>
    <col min="9" max="9" width="25.85546875" style="1" hidden="1" customWidth="1"/>
    <col min="10" max="10" width="35.140625" style="1" hidden="1" customWidth="1"/>
    <col min="11" max="11" width="44" style="1" hidden="1" customWidth="1"/>
    <col min="12" max="12" width="10.5703125" style="1" hidden="1" customWidth="1"/>
    <col min="13" max="13" width="3.42578125" style="1" hidden="1" customWidth="1"/>
    <col min="14" max="14" width="25.85546875" style="1" hidden="1" customWidth="1"/>
    <col min="15" max="15" width="3.42578125" style="1" hidden="1" customWidth="1"/>
    <col min="16" max="16" width="75.7109375" style="1" hidden="1" customWidth="1"/>
    <col min="17" max="17" width="25.85546875" style="1" hidden="1" customWidth="1"/>
    <col min="18" max="18" width="8.42578125" style="1" hidden="1" customWidth="1"/>
    <col min="19" max="22" width="2.28515625" style="1" hidden="1" customWidth="1"/>
    <col min="23" max="24" width="2.28515625" style="3" hidden="1" customWidth="1"/>
    <col min="25" max="32" width="2.28515625" style="1" hidden="1" customWidth="1"/>
    <col min="33" max="33" width="61.28515625" style="105" hidden="1" customWidth="1"/>
    <col min="34" max="51" width="25.85546875" style="1" hidden="1" customWidth="1"/>
    <col min="52" max="52" width="15.28515625" style="1" hidden="1" customWidth="1"/>
    <col min="53" max="53" width="25.85546875" style="1" hidden="1" customWidth="1"/>
    <col min="54" max="54" width="61.85546875" style="1" hidden="1" customWidth="1"/>
    <col min="55" max="105" width="25.85546875" style="1" hidden="1" customWidth="1"/>
    <col min="106" max="161" width="25.85546875" style="1" customWidth="1"/>
    <col min="162" max="16384" width="11.42578125" style="1"/>
  </cols>
  <sheetData>
    <row r="1" spans="1:33" s="106" customFormat="1" ht="18" x14ac:dyDescent="0.25">
      <c r="B1" s="216" t="s">
        <v>210</v>
      </c>
      <c r="C1" s="217"/>
      <c r="D1" s="217"/>
      <c r="E1" s="218"/>
      <c r="AG1" s="105"/>
    </row>
    <row r="2" spans="1:33" s="106" customFormat="1" ht="18" x14ac:dyDescent="0.25">
      <c r="B2" s="219" t="s">
        <v>200</v>
      </c>
      <c r="C2" s="220"/>
      <c r="D2" s="220"/>
      <c r="E2" s="221"/>
      <c r="AG2" s="105"/>
    </row>
    <row r="3" spans="1:33" ht="3.75" customHeight="1" x14ac:dyDescent="0.25"/>
    <row r="4" spans="1:33" ht="15" x14ac:dyDescent="0.2">
      <c r="B4" s="101" t="s">
        <v>81</v>
      </c>
      <c r="C4" s="233" t="s">
        <v>118</v>
      </c>
      <c r="D4" s="233"/>
      <c r="E4" s="233"/>
      <c r="F4" s="65"/>
      <c r="G4" s="172" t="s">
        <v>147</v>
      </c>
      <c r="W4" s="1"/>
      <c r="X4" s="1"/>
    </row>
    <row r="5" spans="1:33" ht="15.75" x14ac:dyDescent="0.25">
      <c r="B5" s="101" t="s">
        <v>209</v>
      </c>
      <c r="C5" s="241">
        <v>2</v>
      </c>
      <c r="D5" s="241"/>
      <c r="E5" s="234" t="s">
        <v>128</v>
      </c>
      <c r="F5" s="65"/>
      <c r="G5" s="65"/>
    </row>
    <row r="6" spans="1:33" ht="15.75" hidden="1" x14ac:dyDescent="0.25">
      <c r="B6" s="101" t="s">
        <v>230</v>
      </c>
      <c r="C6" s="226">
        <f>+C5</f>
        <v>2</v>
      </c>
      <c r="D6" s="227"/>
      <c r="E6" s="234"/>
      <c r="F6" s="65"/>
      <c r="G6" s="65"/>
    </row>
    <row r="7" spans="1:33" ht="15" hidden="1" x14ac:dyDescent="0.2">
      <c r="B7" s="101" t="s">
        <v>82</v>
      </c>
      <c r="C7" s="242" t="s">
        <v>86</v>
      </c>
      <c r="D7" s="243"/>
      <c r="E7" s="234"/>
      <c r="F7" s="65"/>
      <c r="G7" s="65"/>
      <c r="W7" s="1"/>
      <c r="X7" s="1"/>
    </row>
    <row r="8" spans="1:33" ht="15" x14ac:dyDescent="0.2">
      <c r="B8" s="101" t="s">
        <v>201</v>
      </c>
      <c r="C8" s="224">
        <v>2</v>
      </c>
      <c r="D8" s="225"/>
      <c r="E8" s="234"/>
      <c r="F8" s="65"/>
      <c r="G8" s="65"/>
      <c r="W8" s="1"/>
      <c r="X8" s="1"/>
    </row>
    <row r="9" spans="1:33" ht="15" hidden="1" x14ac:dyDescent="0.2">
      <c r="B9" s="101" t="s">
        <v>83</v>
      </c>
      <c r="C9" s="226" t="s">
        <v>53</v>
      </c>
      <c r="D9" s="227"/>
      <c r="E9" s="234"/>
      <c r="F9" s="65"/>
      <c r="G9" s="65"/>
      <c r="W9" s="1"/>
      <c r="X9" s="1"/>
    </row>
    <row r="10" spans="1:33" ht="15" hidden="1" x14ac:dyDescent="0.2">
      <c r="B10" s="102" t="s">
        <v>84</v>
      </c>
      <c r="C10" s="228" t="s">
        <v>60</v>
      </c>
      <c r="D10" s="229"/>
      <c r="E10" s="234"/>
      <c r="F10" s="65"/>
      <c r="G10" s="65"/>
      <c r="W10" s="1"/>
      <c r="X10" s="1"/>
    </row>
    <row r="11" spans="1:33" ht="15" x14ac:dyDescent="0.2">
      <c r="B11" s="103" t="s">
        <v>85</v>
      </c>
      <c r="C11" s="230" t="s">
        <v>53</v>
      </c>
      <c r="D11" s="230"/>
      <c r="E11" s="235"/>
      <c r="F11" s="65"/>
      <c r="G11" s="65"/>
      <c r="W11" s="1"/>
      <c r="X11" s="1"/>
    </row>
    <row r="12" spans="1:33" ht="15" hidden="1" customHeight="1" x14ac:dyDescent="0.2">
      <c r="B12" s="135" t="s">
        <v>204</v>
      </c>
      <c r="C12" s="231">
        <f>+'Datos IRPF'!B37</f>
        <v>0.17939553657486032</v>
      </c>
      <c r="D12" s="231"/>
      <c r="E12" s="238" t="s">
        <v>202</v>
      </c>
      <c r="F12" s="239"/>
      <c r="G12" s="240"/>
      <c r="H12" s="2"/>
      <c r="I12" s="2"/>
      <c r="W12" s="1"/>
      <c r="X12" s="1"/>
    </row>
    <row r="13" spans="1:33" ht="15" hidden="1" customHeight="1" x14ac:dyDescent="0.2">
      <c r="B13" s="101" t="s">
        <v>131</v>
      </c>
      <c r="C13" s="232">
        <v>0</v>
      </c>
      <c r="D13" s="232"/>
      <c r="E13" s="114" t="s">
        <v>120</v>
      </c>
      <c r="F13" s="104"/>
      <c r="G13" s="104"/>
      <c r="W13" s="1"/>
      <c r="X13" s="1"/>
    </row>
    <row r="14" spans="1:33" ht="8.25" hidden="1" customHeight="1" x14ac:dyDescent="0.2">
      <c r="B14" s="4"/>
      <c r="C14" s="4"/>
      <c r="D14" s="4"/>
      <c r="W14" s="1"/>
      <c r="X14" s="1"/>
    </row>
    <row r="15" spans="1:33" ht="58.5" hidden="1" customHeight="1" x14ac:dyDescent="0.2">
      <c r="B15" s="2"/>
      <c r="C15" s="18" t="s">
        <v>130</v>
      </c>
      <c r="D15" s="27" t="s">
        <v>61</v>
      </c>
      <c r="W15" s="1"/>
      <c r="X15" s="1"/>
    </row>
    <row r="16" spans="1:33" ht="15" hidden="1" customHeight="1" x14ac:dyDescent="0.25">
      <c r="A16" s="2"/>
      <c r="B16" s="53" t="s">
        <v>3</v>
      </c>
      <c r="C16" s="51" t="str">
        <f>+K74</f>
        <v>A2</v>
      </c>
      <c r="D16" s="46">
        <f>(+K75/30)*C5</f>
        <v>66.195999999999998</v>
      </c>
    </row>
    <row r="17" spans="1:33" ht="15" hidden="1" customHeight="1" x14ac:dyDescent="0.25">
      <c r="A17" s="2"/>
      <c r="B17" s="138" t="str">
        <f>CONCATENATE("Trienios (Gr.",C17,"-",INT(+C8/3),")")</f>
        <v>Trienios (Gr.A2-0)</v>
      </c>
      <c r="C17" s="51" t="str">
        <f>+C16</f>
        <v>A2</v>
      </c>
      <c r="D17" s="47">
        <f>((K78*INT($C$8/3))/30)*C5</f>
        <v>0</v>
      </c>
    </row>
    <row r="18" spans="1:33" s="2" customFormat="1" ht="15" hidden="1" customHeight="1" x14ac:dyDescent="0.2">
      <c r="B18" s="53" t="str">
        <f>IF(C11="s","Residencia en isla No Capitalina","Residencia en isla Capitalina")</f>
        <v>Residencia en isla Capitalina</v>
      </c>
      <c r="C18" s="66" t="str">
        <f>IF(K86=0," ",+K86)</f>
        <v xml:space="preserve"> </v>
      </c>
      <c r="D18" s="47">
        <f>((IF($C$11="s",K88,K87))/30)*C5</f>
        <v>8.0946666666666669</v>
      </c>
      <c r="E18" s="1"/>
      <c r="F18" s="1"/>
      <c r="G18" s="1"/>
      <c r="H18" s="1"/>
      <c r="AG18" s="107"/>
    </row>
    <row r="19" spans="1:33" s="2" customFormat="1" ht="15" hidden="1" x14ac:dyDescent="0.2">
      <c r="B19" s="53" t="str">
        <f>IF(C11="s","Trienio en isla No Capitalina"," ")</f>
        <v xml:space="preserve"> </v>
      </c>
      <c r="C19" s="54"/>
      <c r="D19" s="47">
        <f>((IF($C$11="s",K89*INT($C$8/3),0))/30)*C5</f>
        <v>0</v>
      </c>
      <c r="E19" s="1"/>
      <c r="F19" s="1"/>
      <c r="G19" s="1"/>
      <c r="H19" s="1"/>
      <c r="AG19" s="107"/>
    </row>
    <row r="20" spans="1:33" s="2" customFormat="1" ht="15" hidden="1" x14ac:dyDescent="0.2">
      <c r="B20" s="62" t="s">
        <v>6</v>
      </c>
      <c r="C20" s="67">
        <f>+K82</f>
        <v>37.362599206349209</v>
      </c>
      <c r="D20" s="47">
        <f>((+K83)/30)*C5</f>
        <v>50.215333333333334</v>
      </c>
      <c r="E20" s="1"/>
      <c r="F20" s="1"/>
      <c r="G20" s="1"/>
      <c r="H20" s="1"/>
      <c r="AG20" s="107"/>
    </row>
    <row r="21" spans="1:33" s="2" customFormat="1" ht="15" hidden="1" x14ac:dyDescent="0.2">
      <c r="A21" s="1"/>
      <c r="B21" s="53" t="s">
        <v>5</v>
      </c>
      <c r="C21" s="52">
        <f>+K84</f>
        <v>21</v>
      </c>
      <c r="D21" s="47">
        <f>(K85/30)*C5</f>
        <v>33.12533333333333</v>
      </c>
      <c r="E21" s="1"/>
      <c r="F21" s="1"/>
      <c r="G21" s="1"/>
      <c r="H21" s="1"/>
      <c r="AG21" s="107"/>
    </row>
    <row r="22" spans="1:33" s="2" customFormat="1" ht="15" hidden="1" x14ac:dyDescent="0.2">
      <c r="A22" s="1"/>
      <c r="B22" s="62" t="str">
        <f>IF(AND($C$9="s",C4=AG99),"Complemento nivelador maestros 1º y 2º ESO"," ")</f>
        <v xml:space="preserve"> </v>
      </c>
      <c r="C22" s="54"/>
      <c r="D22" s="47">
        <f>((IF(AND($C$9="s",C4=AG99),R121,0))/30)*C5</f>
        <v>0</v>
      </c>
      <c r="E22" s="1"/>
      <c r="F22" s="1"/>
      <c r="G22" s="1"/>
      <c r="H22" s="1"/>
      <c r="AG22" s="107"/>
    </row>
    <row r="23" spans="1:33" s="2" customFormat="1" ht="15" hidden="1" x14ac:dyDescent="0.2">
      <c r="A23" s="1"/>
      <c r="B23" s="62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3" s="54"/>
      <c r="D23" s="47">
        <f>((IF(AND(C8&gt;5,C8&lt;12),Retribuciones!M8,IF(AND(C8&gt;11,C8&lt;18),Retribuciones!O8,IF(AND(C8&gt;17,C8&lt;24),Retribuciones!Q8,IF(AND(C8&gt;23,C8&lt;30),Retribuciones!S8,IF(C8&gt;29,Retribuciones!U8,0))))))/30)*C5</f>
        <v>0</v>
      </c>
      <c r="E23" s="1"/>
      <c r="F23" s="1"/>
      <c r="G23" s="1"/>
      <c r="H23" s="1"/>
      <c r="AG23" s="107"/>
    </row>
    <row r="24" spans="1:33" s="2" customFormat="1" ht="15" hidden="1" x14ac:dyDescent="0.2">
      <c r="A24" s="1"/>
      <c r="B24" s="62"/>
      <c r="C24" s="54"/>
      <c r="D24" s="47"/>
      <c r="E24" s="1"/>
      <c r="F24" s="1"/>
      <c r="G24" s="1"/>
      <c r="H24" s="1"/>
      <c r="AG24" s="107"/>
    </row>
    <row r="25" spans="1:33" s="2" customFormat="1" ht="15" hidden="1" x14ac:dyDescent="0.2">
      <c r="A25" s="1"/>
      <c r="B25" s="62"/>
      <c r="C25" s="54"/>
      <c r="D25" s="47"/>
      <c r="E25" s="1"/>
      <c r="F25" s="1"/>
      <c r="G25" s="1"/>
      <c r="H25" s="1"/>
      <c r="AG25" s="107"/>
    </row>
    <row r="26" spans="1:33" s="2" customFormat="1" ht="15" hidden="1" x14ac:dyDescent="0.2">
      <c r="A26" s="1"/>
      <c r="B26" s="62"/>
      <c r="C26" s="54"/>
      <c r="D26" s="47"/>
      <c r="E26" s="1"/>
      <c r="F26" s="1"/>
      <c r="G26" s="1"/>
      <c r="H26" s="1"/>
      <c r="AG26" s="107"/>
    </row>
    <row r="27" spans="1:33" ht="15.75" hidden="1" x14ac:dyDescent="0.25">
      <c r="B27" s="62"/>
      <c r="C27" s="54"/>
      <c r="D27" s="47"/>
    </row>
    <row r="28" spans="1:33" ht="15.75" hidden="1" x14ac:dyDescent="0.25">
      <c r="B28" s="62"/>
      <c r="C28" s="54"/>
      <c r="D28" s="47"/>
    </row>
    <row r="29" spans="1:33" ht="15.75" hidden="1" x14ac:dyDescent="0.25">
      <c r="B29" s="53" t="str">
        <f>IF($C$10="junio","Paga extra Sexenio",IF($C$10="diciembre","Paga extra Sexenio",IF($C$10="agosto","Liquidación Paga extra Sexenio"," ")))</f>
        <v>Paga extra Sexenio</v>
      </c>
      <c r="C29" s="54"/>
      <c r="D29" s="47">
        <f>+Hoja2!D41</f>
        <v>0</v>
      </c>
    </row>
    <row r="30" spans="1:33" ht="15.75" hidden="1" x14ac:dyDescent="0.25">
      <c r="B30" s="53" t="str">
        <f>IF($C$10="junio","Paga extra junio, Sueldo Base",IF($C$10="diciembre","Paga extra diciembre, Sueldo Base",IF($C$10="agosto","Liquidación Paga extra diciembre, Sueldo Base"," ")))</f>
        <v>Paga extra diciembre, Sueldo Base</v>
      </c>
      <c r="C30" s="54"/>
      <c r="D30" s="47">
        <f>((IF($C$10="junio",K76,IF($C$10="diciembre",K76,IF($C$10="agosto",K76/2,0))))/180)*C6</f>
        <v>8.0462222222222213</v>
      </c>
    </row>
    <row r="31" spans="1:33" ht="15" hidden="1" customHeight="1" x14ac:dyDescent="0.25">
      <c r="B31" s="53" t="str">
        <f>IF($C$10="junio","Paga extra junio, Trienios",IF($C$10="diciembre","Paga extra diciembre, Trienios",IF($C$10="agosto","Liquidación Paga extra diciembre, Trienios"," ")))</f>
        <v>Paga extra diciembre, Trienios</v>
      </c>
      <c r="C31" s="54"/>
      <c r="D31" s="47">
        <f>((IF($C$10="junio",K79*INT($C$8/3),IF($C$10="diciembre",K80*INT($C$8/3),IF($C$10="agosto",(K80*INT($C$8/3))/2,0))))/180)*C6</f>
        <v>0</v>
      </c>
    </row>
    <row r="32" spans="1:33" ht="15" hidden="1" customHeight="1" x14ac:dyDescent="0.25">
      <c r="B32" s="53" t="str">
        <f>IF($C$10="junio","Paga extra junio, Complemento Destino",IF($C$10="diciembre","Paga extra diciembre, Complemento Destino",IF($C$10="agosto","Liquidación Paga extra diciembre, Complemento Destino"," ")))</f>
        <v>Paga extra diciembre, Complemento Destino</v>
      </c>
      <c r="C32" s="54"/>
      <c r="D32" s="47">
        <f>((IF($C$10="junio",K85,IF($C$10="diciembre",K85,IF($C$10="agosto",K85/2,0))))/180)*C6</f>
        <v>5.520888888888889</v>
      </c>
    </row>
    <row r="33" spans="1:7" ht="15" hidden="1" customHeight="1" x14ac:dyDescent="0.25">
      <c r="B33" s="53" t="str">
        <f>IF($C$10="junio","Adicional, Complemento específico junio",IF($C$10="diciembre","Adicional, Complemento específico diciembre",IF($C$10="agosto","Liquidación Adicional, Complemento específico diciembre"," ")))</f>
        <v>Adicional, Complemento específico diciembre</v>
      </c>
      <c r="C33" s="54"/>
      <c r="D33" s="47">
        <f>((IF(AND($C$9="s",C4=AG99),IF($C$10="junio",((K83+R120)*78%),IF($C$10="diciembre",((K83+R120)*78%),0)),IF($C$10="junio",((K83)*78%),IF($C$10="diciembre",((K83)*78%),IF($C$10="agosto",((K83)*78%)/3,0)))))/180)*C6</f>
        <v>6.5279933333333338</v>
      </c>
    </row>
    <row r="34" spans="1:7" ht="15.75" hidden="1" customHeight="1" x14ac:dyDescent="0.25">
      <c r="B34" s="222" t="s">
        <v>54</v>
      </c>
      <c r="C34" s="223"/>
      <c r="D34" s="47">
        <f>IF(B34=P68,R68,IF(B34=P69,R69,IF(B34=P70,R70,IF(B34=P71,R71,IF(B34=P72,R72,IF(B34=P73,R73,IF(B34=P74,R74,IF(B34=P75,R75,U123))))))))</f>
        <v>0</v>
      </c>
    </row>
    <row r="35" spans="1:7" ht="15.75" hidden="1" customHeight="1" x14ac:dyDescent="0.25">
      <c r="B35" s="222" t="s">
        <v>54</v>
      </c>
      <c r="C35" s="223"/>
      <c r="D35" s="50">
        <f>IF(B35=P68,R68,IF(B35=P69,R69,IF(B35=P70,R70,IF(B35=P71,R71,IF(B35=P72,R72,IF(B35=P73,R73,IF(B35=P74,R74,IF(B35=P75,R75,U124))))))))</f>
        <v>0</v>
      </c>
    </row>
    <row r="36" spans="1:7" ht="15" hidden="1" customHeight="1" x14ac:dyDescent="0.25">
      <c r="B36" s="222" t="s">
        <v>191</v>
      </c>
      <c r="C36" s="223"/>
      <c r="D36" s="156"/>
    </row>
    <row r="37" spans="1:7" ht="15" hidden="1" customHeight="1" x14ac:dyDescent="0.25">
      <c r="B37" s="6" t="s">
        <v>56</v>
      </c>
      <c r="C37" s="7"/>
      <c r="D37" s="205">
        <f>SUM(D16:D36)</f>
        <v>177.72643777777776</v>
      </c>
    </row>
    <row r="38" spans="1:7" ht="8.25" customHeight="1" x14ac:dyDescent="0.25">
      <c r="B38" s="12"/>
      <c r="C38" s="12"/>
      <c r="D38" s="12"/>
      <c r="E38" s="12"/>
    </row>
    <row r="39" spans="1:7" ht="15" hidden="1" customHeight="1" x14ac:dyDescent="0.25">
      <c r="B39" s="139" t="s">
        <v>63</v>
      </c>
      <c r="C39" s="244" t="s">
        <v>178</v>
      </c>
      <c r="D39" s="245"/>
      <c r="F39" s="136"/>
      <c r="G39" s="137" t="s">
        <v>179</v>
      </c>
    </row>
    <row r="40" spans="1:7" ht="15" hidden="1" customHeight="1" x14ac:dyDescent="0.25">
      <c r="B40" s="8" t="s">
        <v>119</v>
      </c>
      <c r="C40" s="5"/>
      <c r="D40" s="13">
        <f>-(6/30)*C5</f>
        <v>-0.4</v>
      </c>
      <c r="F40" s="132"/>
      <c r="G40" s="132"/>
    </row>
    <row r="41" spans="1:7" ht="15" hidden="1" customHeight="1" x14ac:dyDescent="0.25">
      <c r="B41" s="26" t="s">
        <v>238</v>
      </c>
      <c r="C41" s="64" t="str">
        <f>IF(C7=D53," ","4,70%")</f>
        <v>4,70%</v>
      </c>
      <c r="D41" s="13">
        <f>IF(OR(C7="interino",C7=AG68),-D53*4.7%,K112)</f>
        <v>-8.3531425755555553</v>
      </c>
      <c r="F41" s="132"/>
      <c r="G41" s="206">
        <f>IF(OR(C7="interino",C7=AG68),ROUND(-D53*23.6%,2)," ")</f>
        <v>-41.94</v>
      </c>
    </row>
    <row r="42" spans="1:7" ht="15" hidden="1" customHeight="1" x14ac:dyDescent="0.25">
      <c r="B42" s="8" t="s">
        <v>239</v>
      </c>
      <c r="C42" s="64" t="str">
        <f>IF(C7=AG69,"1,55%"," ")</f>
        <v>1,55%</v>
      </c>
      <c r="D42" s="13">
        <f>IF(C7="interino",-D53*1.55%,K113)</f>
        <v>-2.7547597855555552</v>
      </c>
      <c r="F42" s="132"/>
      <c r="G42" s="206">
        <f>IF(C7="interino",ROUND(-D53*5.5%,2)," ")</f>
        <v>-9.77</v>
      </c>
    </row>
    <row r="43" spans="1:7" ht="15" hidden="1" customHeight="1" x14ac:dyDescent="0.25">
      <c r="B43" s="8" t="str">
        <f>IF(C7=AG69,"Cuota Formación Profesional: 0,10% y 0,60%",IF(C7=AG68,"Coeficiente reductor: 0,009 y 0,046"," "))</f>
        <v>Cuota Formación Profesional: 0,10% y 0,60%</v>
      </c>
      <c r="C43" s="155" t="str">
        <f>IF(C7=AG69,"0,10%",IF(C7=AG68,0.009," "))</f>
        <v>0,10%</v>
      </c>
      <c r="D43" s="13">
        <f>IF(C7="interino",ROUND(-D53*0.1%,2),IF(C7=AG68,0.009*-(+D41+G41)," "))</f>
        <v>-0.18</v>
      </c>
      <c r="F43" s="132"/>
      <c r="G43" s="206">
        <f>IF(C7="interino",ROUND(-D53*0.6%,2),IF(C7=AG68,ROUND(0.046*-(+D41+G41),2)," "))</f>
        <v>-1.07</v>
      </c>
    </row>
    <row r="44" spans="1:7" ht="15" hidden="1" customHeight="1" x14ac:dyDescent="0.25">
      <c r="B44" s="133" t="s">
        <v>62</v>
      </c>
      <c r="C44" s="134">
        <f>+C$12</f>
        <v>0.17939553657486032</v>
      </c>
      <c r="D44" s="48">
        <f>-(+D37)*C44</f>
        <v>-31.883329668682968</v>
      </c>
      <c r="F44" s="2"/>
      <c r="G44" s="206">
        <f>SUM(G41:G43)</f>
        <v>-52.779999999999994</v>
      </c>
    </row>
    <row r="45" spans="1:7" ht="4.5" hidden="1" customHeight="1" x14ac:dyDescent="0.25">
      <c r="A45" s="2"/>
      <c r="B45" s="2"/>
      <c r="C45" s="2"/>
      <c r="D45" s="2"/>
      <c r="F45" s="2"/>
      <c r="G45" s="2"/>
    </row>
    <row r="46" spans="1:7" ht="15" hidden="1" customHeight="1" x14ac:dyDescent="0.25">
      <c r="B46" s="6" t="s">
        <v>57</v>
      </c>
      <c r="C46" s="7"/>
      <c r="D46" s="49">
        <f>SUM(D40:D44)</f>
        <v>-43.571232029794075</v>
      </c>
      <c r="E46" s="12"/>
    </row>
    <row r="47" spans="1:7" ht="4.5" hidden="1" customHeight="1" x14ac:dyDescent="0.25">
      <c r="D47" s="2"/>
    </row>
    <row r="48" spans="1:7" ht="15" hidden="1" customHeight="1" x14ac:dyDescent="0.25">
      <c r="B48" s="9" t="s">
        <v>80</v>
      </c>
      <c r="C48" s="10"/>
      <c r="D48" s="11">
        <f>+D37+D46</f>
        <v>134.1552057479837</v>
      </c>
      <c r="E48" s="12"/>
    </row>
    <row r="49" spans="1:28" ht="5.25" hidden="1" customHeight="1" x14ac:dyDescent="0.25">
      <c r="A49" s="58"/>
      <c r="B49" s="58"/>
      <c r="C49" s="58"/>
      <c r="D49" s="58"/>
    </row>
    <row r="50" spans="1:28" ht="15" hidden="1" customHeight="1" x14ac:dyDescent="0.25">
      <c r="A50" s="58"/>
      <c r="B50" s="236" t="s">
        <v>186</v>
      </c>
      <c r="C50" s="237"/>
      <c r="D50" s="60">
        <f>(+Hoja2!D37/360)*358</f>
        <v>31813.032362222224</v>
      </c>
      <c r="E50" s="12"/>
    </row>
    <row r="51" spans="1:28" ht="15" hidden="1" customHeight="1" x14ac:dyDescent="0.25">
      <c r="A51" s="58"/>
      <c r="B51" s="236" t="str">
        <f>IF(C7="carrera (anterior a 1 enero 2011)","Derechos Pasivos, MUFACE y Cuota sindical",IF(C7="Carrera (posterior a 1 enero 2011)","MUFACE, Seguridad Social (contingentes comunes) y Cuota sindical.","Seguridad Social y Cuota sindical"))</f>
        <v>Seguridad Social y Cuota sindical</v>
      </c>
      <c r="C51" s="237"/>
      <c r="D51" s="60">
        <f>IF(C7="carrera (anterior a 1 enero 2011)",(+(K90+K91)*14)+(D40*12),IF(C7="Carrera (posterior a 1 enero 2011)",((D41+D43)*12)+(D42*14),-(D50*6.35%)-(D40*12)))</f>
        <v>-2015.3275550011113</v>
      </c>
    </row>
    <row r="52" spans="1:28" ht="3.75" hidden="1" customHeight="1" x14ac:dyDescent="0.25">
      <c r="A52" s="58"/>
      <c r="B52" s="58"/>
      <c r="C52" s="58"/>
      <c r="D52" s="58"/>
      <c r="E52" s="12"/>
    </row>
    <row r="53" spans="1:28" ht="15" hidden="1" customHeight="1" x14ac:dyDescent="0.25">
      <c r="A53" s="58"/>
      <c r="B53" s="6" t="str">
        <f>IF(OR(C7="interino",C7=AG68),"Base cotización Seguridad Social"," ")</f>
        <v>Base cotización Seguridad Social</v>
      </c>
      <c r="C53" s="61"/>
      <c r="D53" s="60">
        <f>+D37</f>
        <v>177.72643777777776</v>
      </c>
      <c r="E53" s="58"/>
    </row>
    <row r="54" spans="1:28" ht="3.75" hidden="1" customHeight="1" x14ac:dyDescent="0.25">
      <c r="A54" s="58"/>
      <c r="B54" s="58"/>
      <c r="C54" s="58"/>
      <c r="D54" s="58"/>
      <c r="E54" s="58"/>
    </row>
    <row r="55" spans="1:28" ht="3.75" hidden="1" customHeight="1" x14ac:dyDescent="0.25">
      <c r="E55" s="12"/>
      <c r="W55" s="1"/>
      <c r="X55" s="1"/>
      <c r="AA55" s="3"/>
      <c r="AB55" s="3"/>
    </row>
    <row r="56" spans="1:28" ht="15.75" hidden="1" customHeight="1" x14ac:dyDescent="0.25">
      <c r="A56" s="58"/>
      <c r="B56" s="254" t="str">
        <f>IF(C7="Interino","INTERINO. SUELDO BRUTO. Año 2016 hasta finalización contrato"," ")</f>
        <v>INTERINO. SUELDO BRUTO. Año 2016 hasta finalización contrato</v>
      </c>
      <c r="C56" s="255"/>
      <c r="D56" s="150">
        <f>IF(C7="Interino",(D50/365)*('Datos IRPF'!B42+'Datos IRPF'!B43)," ")</f>
        <v>34340.64315264536</v>
      </c>
      <c r="E56" s="248" t="str">
        <f>IF(C7="Interino","INTERINO: Introducir fecha de inicio y finalización en hoja =Datos IRPF="," ")</f>
        <v>INTERINO: Introducir fecha de inicio y finalización en hoja =Datos IRPF=</v>
      </c>
      <c r="F56" s="249"/>
      <c r="G56" s="250"/>
      <c r="W56" s="1"/>
      <c r="X56" s="1"/>
      <c r="AA56" s="3"/>
      <c r="AB56" s="3"/>
    </row>
    <row r="57" spans="1:28" ht="15.75" hidden="1" customHeight="1" x14ac:dyDescent="0.25">
      <c r="B57" s="254" t="str">
        <f>IF(C7="Interino","INTERINO. Seguridad Social. Año 2016 hasta finalización contrato"," ")</f>
        <v>INTERINO. Seguridad Social. Año 2016 hasta finalización contrato</v>
      </c>
      <c r="C57" s="255"/>
      <c r="D57" s="150">
        <f>IF(C7="Interino",(D51/365)*('Datos IRPF'!B42+'Datos IRPF'!B43)," ")</f>
        <v>-2175.4494703299665</v>
      </c>
      <c r="E57" s="251"/>
      <c r="F57" s="252"/>
      <c r="G57" s="253"/>
    </row>
    <row r="58" spans="1:28" ht="9" hidden="1" customHeight="1" x14ac:dyDescent="0.25"/>
    <row r="59" spans="1:28" ht="15.75" hidden="1" x14ac:dyDescent="0.25"/>
    <row r="60" spans="1:28" ht="15.75" hidden="1" x14ac:dyDescent="0.25">
      <c r="H60" s="12"/>
      <c r="W60" s="1"/>
      <c r="X60" s="1"/>
      <c r="AA60" s="3"/>
      <c r="AB60" s="3"/>
    </row>
    <row r="61" spans="1:28" ht="12.95" hidden="1" customHeight="1" x14ac:dyDescent="0.25">
      <c r="H61" s="12"/>
      <c r="W61" s="1"/>
      <c r="X61" s="1"/>
      <c r="AA61" s="3"/>
      <c r="AB61" s="3"/>
    </row>
    <row r="62" spans="1:28" ht="12.95" customHeight="1" x14ac:dyDescent="0.25">
      <c r="B62" s="246" t="s">
        <v>242</v>
      </c>
      <c r="C62" s="246"/>
      <c r="H62" s="12"/>
      <c r="W62" s="1"/>
      <c r="X62" s="1"/>
      <c r="AA62" s="3"/>
      <c r="AB62" s="3"/>
    </row>
    <row r="63" spans="1:28" ht="18" customHeight="1" x14ac:dyDescent="0.25">
      <c r="B63" s="246" t="s">
        <v>241</v>
      </c>
      <c r="C63" s="246"/>
      <c r="L63" s="2"/>
      <c r="M63" s="2"/>
      <c r="W63" s="1"/>
      <c r="X63" s="1"/>
      <c r="AA63" s="3"/>
      <c r="AB63" s="3"/>
    </row>
    <row r="64" spans="1:28" ht="18" customHeight="1" x14ac:dyDescent="0.25">
      <c r="B64" s="207"/>
      <c r="C64" s="208" t="s">
        <v>232</v>
      </c>
      <c r="W64" s="1"/>
      <c r="X64" s="1"/>
      <c r="AA64" s="3"/>
      <c r="AB64" s="3"/>
    </row>
    <row r="65" spans="2:33" ht="15.75" x14ac:dyDescent="0.25">
      <c r="B65" s="209" t="s">
        <v>233</v>
      </c>
      <c r="C65" s="212">
        <f>+D37</f>
        <v>177.72643777777776</v>
      </c>
      <c r="W65" s="1"/>
      <c r="X65" s="1"/>
      <c r="AA65" s="3"/>
      <c r="AB65" s="3"/>
    </row>
    <row r="66" spans="2:33" ht="15.75" hidden="1" x14ac:dyDescent="0.25">
      <c r="B66" s="209"/>
      <c r="C66" s="212"/>
      <c r="W66" s="1"/>
      <c r="X66" s="1"/>
      <c r="AA66" s="3"/>
      <c r="AB66" s="3"/>
    </row>
    <row r="67" spans="2:33" ht="15.75" hidden="1" x14ac:dyDescent="0.25">
      <c r="B67" s="214" t="s">
        <v>240</v>
      </c>
      <c r="C67" s="208" t="s">
        <v>232</v>
      </c>
      <c r="P67" s="1" t="s">
        <v>54</v>
      </c>
      <c r="W67" s="1"/>
      <c r="X67" s="1"/>
      <c r="AA67" s="3"/>
      <c r="AB67" s="3"/>
    </row>
    <row r="68" spans="2:33" ht="15.75" hidden="1" x14ac:dyDescent="0.25">
      <c r="B68" s="209" t="s">
        <v>234</v>
      </c>
      <c r="C68" s="212">
        <f>-G41</f>
        <v>41.94</v>
      </c>
      <c r="L68" s="1" t="s">
        <v>53</v>
      </c>
      <c r="M68" s="1">
        <v>1</v>
      </c>
      <c r="P68" s="14" t="s">
        <v>132</v>
      </c>
      <c r="R68" s="15">
        <v>529.56320000000005</v>
      </c>
      <c r="S68" s="19">
        <v>1</v>
      </c>
      <c r="T68" s="19"/>
      <c r="V68" s="171"/>
      <c r="W68" s="1"/>
      <c r="X68" s="1"/>
      <c r="AA68" s="3"/>
      <c r="AB68" s="3"/>
      <c r="AG68" s="105" t="s">
        <v>190</v>
      </c>
    </row>
    <row r="69" spans="2:33" ht="15.75" hidden="1" x14ac:dyDescent="0.25">
      <c r="B69" s="209" t="s">
        <v>235</v>
      </c>
      <c r="C69" s="212">
        <f>-G42</f>
        <v>9.77</v>
      </c>
      <c r="L69" s="1" t="s">
        <v>58</v>
      </c>
      <c r="M69" s="1">
        <v>2</v>
      </c>
      <c r="P69" s="14" t="s">
        <v>133</v>
      </c>
      <c r="R69" s="15">
        <v>483.18399999999997</v>
      </c>
      <c r="S69" s="19">
        <v>2</v>
      </c>
      <c r="T69" s="19"/>
      <c r="V69" s="171"/>
      <c r="W69" s="1"/>
      <c r="X69" s="1"/>
      <c r="AA69" s="3"/>
      <c r="AB69" s="3"/>
      <c r="AG69" s="105" t="s">
        <v>86</v>
      </c>
    </row>
    <row r="70" spans="2:33" ht="15.75" hidden="1" x14ac:dyDescent="0.25">
      <c r="B70" s="209" t="s">
        <v>236</v>
      </c>
      <c r="C70" s="212">
        <f>-G43</f>
        <v>1.07</v>
      </c>
      <c r="L70" s="1" t="s">
        <v>53</v>
      </c>
      <c r="M70" s="1">
        <v>3</v>
      </c>
      <c r="P70" s="14" t="s">
        <v>134</v>
      </c>
      <c r="R70" s="15">
        <v>364.35750000000002</v>
      </c>
      <c r="S70" s="19">
        <v>3</v>
      </c>
      <c r="T70" s="19"/>
      <c r="V70" s="171"/>
      <c r="W70" s="1"/>
      <c r="X70" s="1"/>
      <c r="AA70" s="3"/>
      <c r="AB70" s="3"/>
    </row>
    <row r="71" spans="2:33" ht="16.5" thickBot="1" x14ac:dyDescent="0.3">
      <c r="B71" s="215" t="s">
        <v>240</v>
      </c>
      <c r="C71" s="213">
        <f>SUM(C68:C70)</f>
        <v>52.779999999999994</v>
      </c>
      <c r="L71" s="1" t="s">
        <v>59</v>
      </c>
      <c r="M71" s="1">
        <v>4</v>
      </c>
      <c r="P71" s="16" t="s">
        <v>135</v>
      </c>
      <c r="R71" s="15">
        <v>277.245</v>
      </c>
      <c r="S71" s="19">
        <v>4</v>
      </c>
      <c r="T71" s="19"/>
      <c r="V71" s="171"/>
      <c r="W71" s="1"/>
      <c r="X71" s="1"/>
      <c r="AA71" s="3"/>
      <c r="AB71" s="3"/>
    </row>
    <row r="72" spans="2:33" ht="12.95" hidden="1" customHeight="1" thickBot="1" x14ac:dyDescent="0.3">
      <c r="B72" s="210"/>
      <c r="C72" s="211"/>
      <c r="L72" s="1" t="s">
        <v>60</v>
      </c>
      <c r="M72" s="1">
        <v>5</v>
      </c>
      <c r="P72" s="16" t="s">
        <v>136</v>
      </c>
      <c r="R72" s="15">
        <v>187.86</v>
      </c>
      <c r="S72" s="19">
        <v>5</v>
      </c>
      <c r="T72" s="19"/>
      <c r="V72" s="171"/>
      <c r="W72" s="1"/>
      <c r="X72" s="1"/>
      <c r="AA72" s="3"/>
      <c r="AB72" s="3"/>
      <c r="AG72" s="109" t="s">
        <v>91</v>
      </c>
    </row>
    <row r="73" spans="2:33" ht="12.95" customHeight="1" thickBot="1" x14ac:dyDescent="0.3">
      <c r="B73" s="208" t="s">
        <v>237</v>
      </c>
      <c r="C73" s="212">
        <f>+C65+C71</f>
        <v>230.50643777777776</v>
      </c>
      <c r="K73" s="28" t="str">
        <f>+Hoja2!D16</f>
        <v>597-Maestros</v>
      </c>
      <c r="L73" s="1" t="s">
        <v>194</v>
      </c>
      <c r="M73" s="1">
        <v>6</v>
      </c>
      <c r="P73" s="16" t="s">
        <v>137</v>
      </c>
      <c r="R73" s="15">
        <v>117.71549999999999</v>
      </c>
      <c r="S73" s="19">
        <v>6</v>
      </c>
      <c r="T73" s="19"/>
      <c r="V73" s="171"/>
      <c r="W73" s="1"/>
      <c r="X73" s="1"/>
      <c r="AA73" s="3"/>
      <c r="AB73" s="3"/>
      <c r="AG73" s="109" t="s">
        <v>87</v>
      </c>
    </row>
    <row r="74" spans="2:33" ht="12.95" customHeight="1" thickBot="1" x14ac:dyDescent="0.3">
      <c r="J74" s="29" t="s">
        <v>1</v>
      </c>
      <c r="K74" s="28" t="str">
        <f>+Hoja2!D17</f>
        <v>A2</v>
      </c>
      <c r="M74" s="1">
        <v>7</v>
      </c>
      <c r="P74" s="14" t="s">
        <v>138</v>
      </c>
      <c r="R74" s="15">
        <v>217.28129999999999</v>
      </c>
      <c r="S74" s="19">
        <v>7</v>
      </c>
      <c r="T74" s="19"/>
      <c r="V74" s="171"/>
      <c r="W74" s="1"/>
      <c r="X74" s="1"/>
      <c r="AA74" s="3"/>
      <c r="AB74" s="3"/>
      <c r="AG74" s="109" t="s">
        <v>88</v>
      </c>
    </row>
    <row r="75" spans="2:33" ht="12.95" customHeight="1" thickBot="1" x14ac:dyDescent="0.3">
      <c r="J75" s="30" t="s">
        <v>3</v>
      </c>
      <c r="K75" s="28">
        <f>+Hoja2!D18</f>
        <v>992.94</v>
      </c>
      <c r="M75" s="1">
        <v>8</v>
      </c>
      <c r="P75" s="14" t="s">
        <v>139</v>
      </c>
      <c r="R75" s="15">
        <v>208.23169999999999</v>
      </c>
      <c r="S75" s="19">
        <v>8</v>
      </c>
      <c r="T75" s="19"/>
      <c r="V75" s="171"/>
      <c r="W75" s="1"/>
      <c r="X75" s="1"/>
      <c r="AA75" s="3"/>
      <c r="AB75" s="3"/>
      <c r="AG75" s="109" t="s">
        <v>89</v>
      </c>
    </row>
    <row r="76" spans="2:33" ht="16.5" thickBot="1" x14ac:dyDescent="0.3">
      <c r="B76" s="247" t="s">
        <v>243</v>
      </c>
      <c r="C76" s="247"/>
      <c r="J76" s="31" t="s">
        <v>20</v>
      </c>
      <c r="K76" s="28">
        <f>+Hoja2!D19</f>
        <v>724.16</v>
      </c>
      <c r="M76" s="1">
        <v>9</v>
      </c>
      <c r="P76" s="16" t="s">
        <v>140</v>
      </c>
      <c r="R76" s="15">
        <v>194.6472</v>
      </c>
      <c r="S76" s="20">
        <v>1</v>
      </c>
      <c r="T76" s="20"/>
      <c r="V76" s="171"/>
      <c r="W76" s="1"/>
      <c r="X76" s="1"/>
      <c r="AA76" s="3"/>
      <c r="AB76" s="3"/>
      <c r="AG76" s="109" t="s">
        <v>90</v>
      </c>
    </row>
    <row r="77" spans="2:33" ht="16.5" thickBot="1" x14ac:dyDescent="0.3">
      <c r="B77" s="247" t="s">
        <v>241</v>
      </c>
      <c r="C77" s="247"/>
      <c r="J77" s="32" t="s">
        <v>21</v>
      </c>
      <c r="K77" s="28">
        <f>+Hoja2!D20</f>
        <v>724.16</v>
      </c>
      <c r="M77" s="1">
        <v>10</v>
      </c>
      <c r="P77" s="14" t="s">
        <v>141</v>
      </c>
      <c r="R77" s="15">
        <v>151.64139999999998</v>
      </c>
      <c r="S77" s="20">
        <v>2</v>
      </c>
      <c r="T77" s="20"/>
      <c r="V77" s="171"/>
      <c r="W77" s="1"/>
      <c r="X77" s="1"/>
      <c r="AA77" s="3"/>
      <c r="AB77" s="3"/>
      <c r="AG77" s="109" t="s">
        <v>92</v>
      </c>
    </row>
    <row r="78" spans="2:33" ht="12.95" customHeight="1" thickBot="1" x14ac:dyDescent="0.3">
      <c r="B78" s="207"/>
      <c r="C78" s="208" t="s">
        <v>232</v>
      </c>
      <c r="J78" s="33" t="s">
        <v>4</v>
      </c>
      <c r="K78" s="28">
        <f>+Hoja2!D21</f>
        <v>36.020000000000003</v>
      </c>
      <c r="M78" s="1">
        <v>11</v>
      </c>
      <c r="P78" s="16" t="s">
        <v>142</v>
      </c>
      <c r="R78" s="15">
        <v>217.28129999999999</v>
      </c>
      <c r="S78" s="20">
        <v>3</v>
      </c>
      <c r="T78" s="20"/>
      <c r="V78" s="171"/>
      <c r="W78" s="1"/>
      <c r="X78" s="1"/>
      <c r="AA78" s="3"/>
      <c r="AB78" s="3"/>
      <c r="AG78" s="109" t="s">
        <v>93</v>
      </c>
    </row>
    <row r="79" spans="2:33" ht="16.5" thickBot="1" x14ac:dyDescent="0.3">
      <c r="B79" s="209" t="s">
        <v>233</v>
      </c>
      <c r="C79" s="212">
        <f>+D37</f>
        <v>177.72643777777776</v>
      </c>
      <c r="J79" s="34" t="s">
        <v>22</v>
      </c>
      <c r="K79" s="28">
        <f>+Hoja2!D22</f>
        <v>26.26</v>
      </c>
      <c r="M79" s="1">
        <v>12</v>
      </c>
      <c r="P79" s="14" t="s">
        <v>143</v>
      </c>
      <c r="R79" s="15">
        <v>208.23169999999999</v>
      </c>
      <c r="S79" s="20">
        <v>4</v>
      </c>
      <c r="T79" s="20"/>
      <c r="V79" s="171"/>
      <c r="W79" s="1"/>
      <c r="X79" s="1"/>
      <c r="AA79" s="3"/>
      <c r="AB79" s="3"/>
      <c r="AG79" s="109" t="s">
        <v>94</v>
      </c>
    </row>
    <row r="80" spans="2:33" ht="12.95" hidden="1" customHeight="1" thickBot="1" x14ac:dyDescent="0.3">
      <c r="B80" s="209"/>
      <c r="C80" s="212"/>
      <c r="J80" s="35" t="s">
        <v>23</v>
      </c>
      <c r="K80" s="28">
        <f>+Hoja2!D23</f>
        <v>26.26</v>
      </c>
      <c r="M80" s="1">
        <v>13</v>
      </c>
      <c r="P80" s="14" t="s">
        <v>144</v>
      </c>
      <c r="R80" s="15">
        <v>194.6472</v>
      </c>
      <c r="S80" s="20">
        <v>5</v>
      </c>
      <c r="T80" s="20"/>
      <c r="V80" s="171"/>
      <c r="W80" s="1"/>
      <c r="X80" s="1"/>
      <c r="AA80" s="3"/>
      <c r="AB80" s="3"/>
      <c r="AG80" s="109" t="s">
        <v>95</v>
      </c>
    </row>
    <row r="81" spans="2:33" ht="16.5" hidden="1" thickBot="1" x14ac:dyDescent="0.3">
      <c r="C81" s="208" t="s">
        <v>232</v>
      </c>
      <c r="J81" s="36" t="s">
        <v>18</v>
      </c>
      <c r="K81" s="28">
        <f>+Hoja2!D24</f>
        <v>0</v>
      </c>
      <c r="M81" s="1">
        <v>14</v>
      </c>
      <c r="P81" s="14" t="s">
        <v>145</v>
      </c>
      <c r="R81" s="15">
        <v>151.64139999999998</v>
      </c>
      <c r="S81" s="20">
        <v>6</v>
      </c>
      <c r="T81" s="20"/>
      <c r="V81" s="171"/>
      <c r="W81" s="1"/>
      <c r="X81" s="1"/>
      <c r="AA81" s="3"/>
      <c r="AB81" s="3"/>
      <c r="AG81" s="109" t="s">
        <v>96</v>
      </c>
    </row>
    <row r="82" spans="2:33" ht="12.95" hidden="1" customHeight="1" thickBot="1" x14ac:dyDescent="0.3">
      <c r="B82" s="209" t="s">
        <v>234</v>
      </c>
      <c r="C82" s="212">
        <f>-G41*94.5%</f>
        <v>39.633299999999998</v>
      </c>
      <c r="J82" s="37" t="s">
        <v>129</v>
      </c>
      <c r="K82" s="28">
        <f>+Hoja2!D25</f>
        <v>37.362599206349209</v>
      </c>
      <c r="M82" s="1">
        <v>15</v>
      </c>
      <c r="P82" s="14" t="s">
        <v>146</v>
      </c>
      <c r="R82" s="15">
        <v>101.85849999999999</v>
      </c>
      <c r="S82" s="20">
        <v>7</v>
      </c>
      <c r="T82" s="20"/>
      <c r="V82" s="171"/>
      <c r="W82" s="1"/>
      <c r="X82" s="1"/>
      <c r="AA82" s="3"/>
      <c r="AB82" s="3"/>
      <c r="AG82" s="109" t="s">
        <v>97</v>
      </c>
    </row>
    <row r="83" spans="2:33" ht="12.95" hidden="1" customHeight="1" thickBot="1" x14ac:dyDescent="0.3">
      <c r="B83" s="209" t="s">
        <v>17</v>
      </c>
      <c r="C83" s="212">
        <f>IF(C4="590-Profesores Enseñanza Secundaria",Retribuciones!AE13,Retribuciones!AE14)</f>
        <v>12.078729599999999</v>
      </c>
      <c r="J83" s="38" t="s">
        <v>6</v>
      </c>
      <c r="K83" s="28">
        <f>+Hoja2!D26</f>
        <v>753.23</v>
      </c>
      <c r="M83" s="1">
        <v>16</v>
      </c>
      <c r="P83" s="14" t="s">
        <v>50</v>
      </c>
      <c r="R83" s="15">
        <v>217.28129999999999</v>
      </c>
      <c r="S83" s="21">
        <v>1</v>
      </c>
      <c r="T83" s="21"/>
      <c r="V83" s="171"/>
      <c r="W83" s="1"/>
      <c r="X83" s="1"/>
      <c r="AA83" s="3"/>
      <c r="AB83" s="3"/>
      <c r="AG83" s="109" t="s">
        <v>98</v>
      </c>
    </row>
    <row r="84" spans="2:33" ht="17.25" customHeight="1" thickBot="1" x14ac:dyDescent="0.3">
      <c r="B84" s="215" t="s">
        <v>244</v>
      </c>
      <c r="C84" s="213">
        <f>SUM(C82:C83)</f>
        <v>51.712029599999994</v>
      </c>
      <c r="J84" s="39" t="s">
        <v>0</v>
      </c>
      <c r="K84" s="28">
        <f>+Hoja2!D28</f>
        <v>21</v>
      </c>
      <c r="M84" s="1">
        <v>17</v>
      </c>
      <c r="P84" s="14" t="s">
        <v>51</v>
      </c>
      <c r="R84" s="15">
        <v>208.23169999999999</v>
      </c>
      <c r="S84" s="21">
        <v>2</v>
      </c>
      <c r="T84" s="21"/>
      <c r="V84" s="171"/>
      <c r="W84" s="1"/>
      <c r="X84" s="1"/>
      <c r="AA84" s="3"/>
      <c r="AB84" s="3"/>
      <c r="AG84" s="109" t="s">
        <v>99</v>
      </c>
    </row>
    <row r="85" spans="2:33" ht="12.95" hidden="1" customHeight="1" thickBot="1" x14ac:dyDescent="0.3">
      <c r="B85" s="210"/>
      <c r="C85" s="211"/>
      <c r="J85" s="40" t="s">
        <v>5</v>
      </c>
      <c r="K85" s="28">
        <f>+Hoja2!D29</f>
        <v>496.88</v>
      </c>
      <c r="M85" s="1">
        <v>18</v>
      </c>
      <c r="P85" s="16" t="s">
        <v>52</v>
      </c>
      <c r="R85" s="15">
        <v>194.6472</v>
      </c>
      <c r="S85" s="21">
        <v>3</v>
      </c>
      <c r="T85" s="21"/>
      <c r="V85" s="171"/>
      <c r="W85" s="1"/>
      <c r="X85" s="1"/>
      <c r="AA85" s="3"/>
      <c r="AB85" s="3"/>
      <c r="AG85" s="109" t="s">
        <v>100</v>
      </c>
    </row>
    <row r="86" spans="2:33" ht="12.95" customHeight="1" thickBot="1" x14ac:dyDescent="0.3">
      <c r="B86" s="208" t="s">
        <v>237</v>
      </c>
      <c r="C86" s="212">
        <f>+C79+C84</f>
        <v>229.43846737777776</v>
      </c>
      <c r="J86" s="41" t="s">
        <v>2</v>
      </c>
      <c r="K86" s="28">
        <f>+Hoja2!D31</f>
        <v>0</v>
      </c>
      <c r="M86" s="1">
        <v>19</v>
      </c>
      <c r="P86" s="16" t="s">
        <v>24</v>
      </c>
      <c r="R86" s="15">
        <v>142.1979</v>
      </c>
      <c r="S86" s="21">
        <v>4</v>
      </c>
      <c r="T86" s="21"/>
      <c r="V86" s="171"/>
      <c r="W86" s="1"/>
      <c r="X86" s="1"/>
      <c r="AA86" s="3"/>
      <c r="AB86" s="3"/>
      <c r="AG86" s="109" t="s">
        <v>101</v>
      </c>
    </row>
    <row r="87" spans="2:33" ht="12.95" customHeight="1" thickBot="1" x14ac:dyDescent="0.3">
      <c r="J87" s="42" t="s">
        <v>7</v>
      </c>
      <c r="K87" s="28">
        <f>+Hoja2!D32</f>
        <v>121.42</v>
      </c>
      <c r="M87" s="1">
        <v>20</v>
      </c>
      <c r="P87" s="16" t="s">
        <v>25</v>
      </c>
      <c r="R87" s="15">
        <v>149.9547</v>
      </c>
      <c r="S87" s="21">
        <v>5</v>
      </c>
      <c r="T87" s="21"/>
      <c r="V87" s="171"/>
      <c r="W87" s="1"/>
      <c r="X87" s="1"/>
      <c r="AA87" s="3"/>
      <c r="AB87" s="3"/>
      <c r="AG87" s="109" t="s">
        <v>102</v>
      </c>
    </row>
    <row r="88" spans="2:33" ht="12.95" customHeight="1" thickBot="1" x14ac:dyDescent="0.3">
      <c r="B88" s="202" t="s">
        <v>203</v>
      </c>
      <c r="C88" s="203"/>
      <c r="D88" s="204"/>
      <c r="J88" s="42" t="s">
        <v>8</v>
      </c>
      <c r="K88" s="28">
        <f>+Hoja2!D33</f>
        <v>404.45</v>
      </c>
      <c r="M88" s="1">
        <v>21</v>
      </c>
      <c r="O88" s="1">
        <v>10</v>
      </c>
      <c r="P88" s="16" t="s">
        <v>26</v>
      </c>
      <c r="R88" s="15">
        <v>160.97379999999998</v>
      </c>
      <c r="S88" s="21">
        <v>6</v>
      </c>
      <c r="T88" s="21"/>
      <c r="V88" s="171"/>
      <c r="W88" s="1"/>
      <c r="X88" s="1"/>
      <c r="AA88" s="3"/>
      <c r="AB88" s="3"/>
      <c r="AG88" s="109" t="s">
        <v>103</v>
      </c>
    </row>
    <row r="89" spans="2:33" ht="12.95" customHeight="1" thickBot="1" x14ac:dyDescent="0.3">
      <c r="J89" s="43" t="s">
        <v>9</v>
      </c>
      <c r="K89" s="28">
        <f>+Hoja2!D34</f>
        <v>28.39</v>
      </c>
      <c r="M89" s="1">
        <v>22</v>
      </c>
      <c r="O89" s="1">
        <v>11</v>
      </c>
      <c r="P89" s="16" t="s">
        <v>27</v>
      </c>
      <c r="R89" s="15">
        <v>124.14920000000001</v>
      </c>
      <c r="S89" s="21">
        <v>7</v>
      </c>
      <c r="T89" s="21"/>
      <c r="V89" s="171"/>
      <c r="W89" s="1"/>
      <c r="X89" s="1"/>
      <c r="AA89" s="3"/>
      <c r="AB89" s="3"/>
    </row>
    <row r="90" spans="2:33" ht="12.95" customHeight="1" thickBot="1" x14ac:dyDescent="0.3">
      <c r="J90" s="44" t="s">
        <v>17</v>
      </c>
      <c r="K90" s="28">
        <f>+Hoja2!D35</f>
        <v>38.56</v>
      </c>
      <c r="M90" s="1">
        <v>23</v>
      </c>
      <c r="O90" s="1">
        <v>12</v>
      </c>
      <c r="P90" s="14" t="s">
        <v>28</v>
      </c>
      <c r="R90" s="15">
        <v>131.08789999999999</v>
      </c>
      <c r="S90" s="21">
        <v>8</v>
      </c>
      <c r="T90" s="21"/>
      <c r="V90" s="171"/>
      <c r="W90" s="1"/>
      <c r="X90" s="1"/>
      <c r="AA90" s="3"/>
      <c r="AB90" s="3"/>
    </row>
    <row r="91" spans="2:33" ht="12.95" customHeight="1" x14ac:dyDescent="0.25">
      <c r="J91" s="44" t="s">
        <v>64</v>
      </c>
      <c r="K91" s="28">
        <f>+Hoja2!D36</f>
        <v>88.07</v>
      </c>
      <c r="M91" s="1">
        <v>24</v>
      </c>
      <c r="O91" s="1">
        <v>13</v>
      </c>
      <c r="P91" s="14" t="s">
        <v>29</v>
      </c>
      <c r="R91" s="15">
        <v>138.5316</v>
      </c>
      <c r="S91" s="23">
        <v>1</v>
      </c>
      <c r="T91" s="23"/>
      <c r="V91" s="171"/>
      <c r="W91" s="1"/>
      <c r="X91" s="1"/>
      <c r="AA91" s="3"/>
      <c r="AB91" s="3"/>
      <c r="AG91" s="108" t="s">
        <v>110</v>
      </c>
    </row>
    <row r="92" spans="2:33" ht="12.95" customHeight="1" x14ac:dyDescent="0.25">
      <c r="J92" s="44"/>
      <c r="K92" s="55"/>
      <c r="M92" s="1">
        <v>25</v>
      </c>
      <c r="O92" s="1">
        <v>14</v>
      </c>
      <c r="P92" s="16" t="s">
        <v>10</v>
      </c>
      <c r="R92" s="15">
        <v>348.84389999999996</v>
      </c>
      <c r="S92" s="23">
        <v>2</v>
      </c>
      <c r="T92" s="23"/>
      <c r="V92" s="171"/>
      <c r="W92" s="1"/>
      <c r="X92" s="1"/>
      <c r="AA92" s="3"/>
      <c r="AB92" s="3"/>
      <c r="AG92" s="108" t="s">
        <v>111</v>
      </c>
    </row>
    <row r="93" spans="2:33" ht="12.95" customHeight="1" x14ac:dyDescent="0.25">
      <c r="J93" s="44"/>
      <c r="K93" s="45"/>
      <c r="M93" s="1">
        <v>26</v>
      </c>
      <c r="O93" s="1">
        <v>15</v>
      </c>
      <c r="P93" s="16" t="s">
        <v>11</v>
      </c>
      <c r="R93" s="15">
        <v>323.7353</v>
      </c>
      <c r="S93" s="23">
        <v>3</v>
      </c>
      <c r="T93" s="23"/>
      <c r="V93" s="171"/>
      <c r="W93" s="1"/>
      <c r="X93" s="1"/>
      <c r="AA93" s="3"/>
      <c r="AB93" s="3"/>
      <c r="AG93" s="108" t="s">
        <v>112</v>
      </c>
    </row>
    <row r="94" spans="2:33" ht="12.95" customHeight="1" x14ac:dyDescent="0.25">
      <c r="J94" s="59" t="s">
        <v>65</v>
      </c>
      <c r="K94" s="56">
        <v>0</v>
      </c>
      <c r="M94" s="1">
        <v>27</v>
      </c>
      <c r="O94" s="1">
        <v>16</v>
      </c>
      <c r="P94" s="14" t="s">
        <v>12</v>
      </c>
      <c r="R94" s="15">
        <v>168.50839999999999</v>
      </c>
      <c r="S94" s="23">
        <v>4</v>
      </c>
      <c r="T94" s="23"/>
      <c r="V94" s="171"/>
      <c r="W94" s="1"/>
      <c r="X94" s="1"/>
      <c r="AA94" s="3"/>
      <c r="AB94" s="3"/>
      <c r="AG94" s="108" t="s">
        <v>113</v>
      </c>
    </row>
    <row r="95" spans="2:33" ht="12.95" customHeight="1" x14ac:dyDescent="0.25">
      <c r="J95" s="59" t="s">
        <v>68</v>
      </c>
      <c r="K95" s="56">
        <v>90</v>
      </c>
      <c r="M95" s="1">
        <v>28</v>
      </c>
      <c r="O95" s="1">
        <v>17</v>
      </c>
      <c r="P95" s="14" t="s">
        <v>16</v>
      </c>
      <c r="R95" s="15">
        <v>146.1773</v>
      </c>
      <c r="S95" s="23">
        <v>5</v>
      </c>
      <c r="T95" s="23"/>
      <c r="V95" s="171"/>
      <c r="W95" s="1"/>
      <c r="X95" s="1"/>
      <c r="AA95" s="3"/>
      <c r="AB95" s="3"/>
      <c r="AG95" s="108" t="s">
        <v>114</v>
      </c>
    </row>
    <row r="96" spans="2:33" ht="12.95" customHeight="1" x14ac:dyDescent="0.25">
      <c r="J96" s="59" t="s">
        <v>69</v>
      </c>
      <c r="K96" s="56">
        <v>100</v>
      </c>
      <c r="M96" s="1">
        <v>29</v>
      </c>
      <c r="O96" s="1">
        <v>18</v>
      </c>
      <c r="P96" s="14" t="s">
        <v>192</v>
      </c>
      <c r="R96" s="15">
        <v>395.01100000000002</v>
      </c>
      <c r="S96" s="23">
        <v>6</v>
      </c>
      <c r="T96" s="23"/>
      <c r="V96" s="171"/>
      <c r="W96" s="1"/>
      <c r="X96" s="1"/>
      <c r="AA96" s="3"/>
      <c r="AB96" s="3"/>
      <c r="AG96" s="108" t="s">
        <v>115</v>
      </c>
    </row>
    <row r="97" spans="10:33" ht="12.95" customHeight="1" x14ac:dyDescent="0.25">
      <c r="J97" s="59" t="s">
        <v>71</v>
      </c>
      <c r="K97" s="56">
        <v>115</v>
      </c>
      <c r="M97" s="1">
        <v>30</v>
      </c>
      <c r="O97" s="1">
        <v>19</v>
      </c>
      <c r="P97" s="14" t="s">
        <v>193</v>
      </c>
      <c r="R97" s="15">
        <v>224.38159999999999</v>
      </c>
      <c r="S97" s="23">
        <v>7</v>
      </c>
      <c r="T97" s="23"/>
      <c r="V97" s="171"/>
      <c r="W97" s="1"/>
      <c r="X97" s="1"/>
      <c r="AA97" s="3"/>
      <c r="AB97" s="3"/>
      <c r="AG97" s="108" t="s">
        <v>116</v>
      </c>
    </row>
    <row r="98" spans="10:33" ht="12.95" customHeight="1" x14ac:dyDescent="0.25">
      <c r="J98" s="59" t="s">
        <v>72</v>
      </c>
      <c r="K98" s="56">
        <v>130</v>
      </c>
      <c r="M98" s="1">
        <v>31</v>
      </c>
      <c r="O98" s="1">
        <v>22</v>
      </c>
      <c r="P98" s="14" t="s">
        <v>13</v>
      </c>
      <c r="R98" s="15">
        <v>295.62700000000001</v>
      </c>
      <c r="S98" s="23">
        <v>8</v>
      </c>
      <c r="T98" s="23"/>
      <c r="V98" s="171"/>
      <c r="W98" s="1"/>
      <c r="X98" s="1"/>
      <c r="AA98" s="3"/>
      <c r="AB98" s="3"/>
      <c r="AG98" s="108" t="s">
        <v>117</v>
      </c>
    </row>
    <row r="99" spans="10:33" ht="12.95" customHeight="1" x14ac:dyDescent="0.25">
      <c r="J99" s="59" t="s">
        <v>70</v>
      </c>
      <c r="K99" s="56">
        <v>70</v>
      </c>
      <c r="M99" s="1">
        <v>32</v>
      </c>
      <c r="O99" s="1">
        <v>17</v>
      </c>
      <c r="P99" s="14" t="s">
        <v>14</v>
      </c>
      <c r="R99" s="15">
        <v>16.7559</v>
      </c>
      <c r="S99" s="24">
        <v>1</v>
      </c>
      <c r="T99" s="24"/>
      <c r="V99" s="171"/>
      <c r="W99" s="1"/>
      <c r="X99" s="1"/>
      <c r="AA99" s="3"/>
      <c r="AB99" s="3"/>
      <c r="AG99" s="108" t="s">
        <v>118</v>
      </c>
    </row>
    <row r="100" spans="10:33" ht="12.95" customHeight="1" x14ac:dyDescent="0.25">
      <c r="M100" s="1">
        <v>33</v>
      </c>
      <c r="O100" s="1">
        <v>18</v>
      </c>
      <c r="P100" s="16" t="s">
        <v>15</v>
      </c>
      <c r="R100" s="15">
        <v>67.952799999999996</v>
      </c>
      <c r="S100" s="24">
        <v>2</v>
      </c>
      <c r="T100" s="24"/>
      <c r="V100" s="171"/>
      <c r="W100" s="1"/>
      <c r="X100" s="1"/>
      <c r="AA100" s="3"/>
      <c r="AB100" s="3"/>
    </row>
    <row r="101" spans="10:33" ht="12.95" customHeight="1" x14ac:dyDescent="0.25">
      <c r="J101" s="1" t="s">
        <v>67</v>
      </c>
      <c r="K101" s="1">
        <f>IF(C10="diciembre",(IF(INT(C8/6)=1,K95,IF(INT(C8/6)=2,K96,IF(INT(C8/6)=3,K97,IF(INT(C8/6)=4,K98,IF(INT(C8/6)&gt;4,K99,K94))))))," ")</f>
        <v>0</v>
      </c>
      <c r="M101" s="1">
        <v>34</v>
      </c>
      <c r="O101" s="1">
        <v>19</v>
      </c>
      <c r="P101" s="14" t="s">
        <v>30</v>
      </c>
      <c r="R101" s="15">
        <v>665.6001</v>
      </c>
      <c r="S101" s="24">
        <v>3</v>
      </c>
      <c r="T101" s="24"/>
      <c r="V101" s="171"/>
      <c r="W101" s="1"/>
      <c r="X101" s="1"/>
      <c r="AA101" s="3"/>
      <c r="AB101" s="3"/>
      <c r="AG101" s="105" t="str">
        <f>+C4</f>
        <v>597-Maestros</v>
      </c>
    </row>
    <row r="102" spans="10:33" ht="12.95" customHeight="1" x14ac:dyDescent="0.25">
      <c r="K102" s="57">
        <f>K76+(K79*INT(C8/3))+(IF(C9="s",(K83+R120)*0.78,K83*0.78))+K85+(IF(INT(C8/6)=1,K95,IF(INT(C8/6)=2,K96,IF(INT(C8/6)=3,K97,IF(INT(C8/6)=4,K98,IF(INT(C8/6)&gt;4,K99,K94))))))</f>
        <v>1808.5594000000001</v>
      </c>
      <c r="M102" s="1">
        <v>35</v>
      </c>
      <c r="O102" s="1">
        <v>20</v>
      </c>
      <c r="P102" s="14" t="s">
        <v>31</v>
      </c>
      <c r="R102" s="15">
        <v>592.06200000000001</v>
      </c>
      <c r="S102" s="24">
        <v>4</v>
      </c>
      <c r="T102" s="24"/>
      <c r="V102" s="171"/>
      <c r="W102" s="1"/>
      <c r="X102" s="1"/>
      <c r="AA102" s="3"/>
      <c r="AB102" s="3"/>
    </row>
    <row r="103" spans="10:33" ht="12.95" customHeight="1" x14ac:dyDescent="0.25">
      <c r="M103" s="1">
        <v>36</v>
      </c>
      <c r="O103" s="1">
        <v>25</v>
      </c>
      <c r="P103" s="14" t="s">
        <v>32</v>
      </c>
      <c r="R103" s="15">
        <v>533.19920000000002</v>
      </c>
      <c r="S103" s="24">
        <v>5</v>
      </c>
      <c r="T103" s="24"/>
      <c r="V103" s="171"/>
      <c r="W103" s="1"/>
      <c r="X103" s="1"/>
      <c r="AA103" s="3"/>
      <c r="AB103" s="3"/>
    </row>
    <row r="104" spans="10:33" ht="12.95" customHeight="1" x14ac:dyDescent="0.25">
      <c r="J104" s="59" t="s">
        <v>78</v>
      </c>
      <c r="K104" s="63">
        <f t="shared" ref="K104:K109" si="0">+K94-K93</f>
        <v>0</v>
      </c>
      <c r="M104" s="1">
        <v>37</v>
      </c>
      <c r="O104" s="1">
        <v>26</v>
      </c>
      <c r="P104" s="14" t="s">
        <v>33</v>
      </c>
      <c r="R104" s="15">
        <v>485.63830000000002</v>
      </c>
      <c r="S104" s="24">
        <v>6</v>
      </c>
      <c r="T104" s="24"/>
      <c r="V104" s="171"/>
      <c r="W104" s="1"/>
      <c r="X104" s="1"/>
      <c r="AA104" s="3"/>
      <c r="AB104" s="3"/>
    </row>
    <row r="105" spans="10:33" ht="12.95" customHeight="1" x14ac:dyDescent="0.25">
      <c r="J105" s="59" t="s">
        <v>73</v>
      </c>
      <c r="K105" s="63">
        <f t="shared" si="0"/>
        <v>90</v>
      </c>
      <c r="M105" s="1">
        <v>38</v>
      </c>
      <c r="O105" s="1">
        <v>27</v>
      </c>
      <c r="P105" s="14" t="s">
        <v>34</v>
      </c>
      <c r="R105" s="15">
        <v>327.19959999999998</v>
      </c>
      <c r="S105" s="24">
        <v>7</v>
      </c>
      <c r="T105" s="24"/>
      <c r="V105" s="171"/>
      <c r="W105" s="1"/>
      <c r="X105" s="1"/>
      <c r="AA105" s="3"/>
      <c r="AB105" s="3"/>
    </row>
    <row r="106" spans="10:33" ht="12.95" customHeight="1" x14ac:dyDescent="0.25">
      <c r="J106" s="59" t="s">
        <v>74</v>
      </c>
      <c r="K106" s="63">
        <f t="shared" si="0"/>
        <v>10</v>
      </c>
      <c r="M106" s="1">
        <v>39</v>
      </c>
      <c r="O106" s="1">
        <v>28</v>
      </c>
      <c r="P106" s="16" t="s">
        <v>35</v>
      </c>
      <c r="R106" s="15">
        <v>313.5949</v>
      </c>
      <c r="S106" s="24">
        <v>8</v>
      </c>
      <c r="T106" s="24"/>
      <c r="V106" s="171"/>
      <c r="W106" s="1"/>
      <c r="X106" s="1"/>
      <c r="AA106" s="3"/>
      <c r="AB106" s="3"/>
    </row>
    <row r="107" spans="10:33" ht="12.95" customHeight="1" x14ac:dyDescent="0.25">
      <c r="J107" s="59" t="s">
        <v>75</v>
      </c>
      <c r="K107" s="63">
        <f t="shared" si="0"/>
        <v>15</v>
      </c>
      <c r="L107" s="63">
        <f>SUM(K105:K107)</f>
        <v>115</v>
      </c>
      <c r="M107" s="1">
        <v>40</v>
      </c>
      <c r="O107" s="1">
        <v>29</v>
      </c>
      <c r="P107" s="16" t="s">
        <v>36</v>
      </c>
      <c r="R107" s="15">
        <v>243.41</v>
      </c>
      <c r="S107" s="22">
        <v>1</v>
      </c>
      <c r="T107" s="22"/>
      <c r="V107" s="171"/>
      <c r="W107" s="1"/>
      <c r="X107" s="1"/>
      <c r="AA107" s="3"/>
      <c r="AB107" s="3"/>
    </row>
    <row r="108" spans="10:33" ht="12.95" customHeight="1" x14ac:dyDescent="0.25">
      <c r="J108" s="59" t="s">
        <v>76</v>
      </c>
      <c r="K108" s="63">
        <f t="shared" si="0"/>
        <v>15</v>
      </c>
      <c r="M108" s="1">
        <v>41</v>
      </c>
      <c r="O108" s="1">
        <v>30</v>
      </c>
      <c r="P108" s="16" t="s">
        <v>37</v>
      </c>
      <c r="R108" s="15">
        <v>194.7482</v>
      </c>
      <c r="S108" s="22">
        <v>2</v>
      </c>
      <c r="T108" s="22"/>
      <c r="V108" s="171"/>
      <c r="W108" s="1"/>
      <c r="X108" s="1"/>
      <c r="AA108" s="3"/>
      <c r="AB108" s="3"/>
    </row>
    <row r="109" spans="10:33" ht="12.95" customHeight="1" x14ac:dyDescent="0.25">
      <c r="J109" s="59" t="s">
        <v>77</v>
      </c>
      <c r="K109" s="63">
        <f t="shared" si="0"/>
        <v>-60</v>
      </c>
      <c r="M109" s="1">
        <v>42</v>
      </c>
      <c r="O109" s="1">
        <v>31</v>
      </c>
      <c r="P109" s="16" t="s">
        <v>38</v>
      </c>
      <c r="R109" s="15">
        <v>327.19959999999998</v>
      </c>
      <c r="S109" s="22">
        <v>3</v>
      </c>
      <c r="T109" s="22"/>
      <c r="V109" s="171"/>
      <c r="W109" s="1"/>
      <c r="X109" s="1"/>
      <c r="AA109" s="3"/>
      <c r="AB109" s="3"/>
    </row>
    <row r="110" spans="10:33" ht="12.95" customHeight="1" x14ac:dyDescent="0.25">
      <c r="M110" s="1">
        <v>43</v>
      </c>
      <c r="O110" s="1">
        <v>32</v>
      </c>
      <c r="P110" s="16" t="s">
        <v>39</v>
      </c>
      <c r="R110" s="15">
        <v>313.5949</v>
      </c>
      <c r="S110" s="22">
        <v>4</v>
      </c>
      <c r="T110" s="22"/>
      <c r="V110" s="171"/>
      <c r="W110" s="1"/>
      <c r="X110" s="1"/>
      <c r="AA110" s="3"/>
      <c r="AB110" s="3"/>
    </row>
    <row r="111" spans="10:33" ht="12.95" customHeight="1" x14ac:dyDescent="0.25">
      <c r="M111" s="1">
        <v>44</v>
      </c>
      <c r="O111" s="1">
        <v>33</v>
      </c>
      <c r="P111" s="14" t="s">
        <v>40</v>
      </c>
      <c r="R111" s="15">
        <v>243.41</v>
      </c>
      <c r="S111" s="22">
        <v>5</v>
      </c>
      <c r="T111" s="22"/>
      <c r="V111" s="171"/>
      <c r="W111" s="1"/>
      <c r="X111" s="1"/>
      <c r="AA111" s="3"/>
      <c r="AB111" s="3"/>
    </row>
    <row r="112" spans="10:33" ht="12.95" customHeight="1" x14ac:dyDescent="0.25">
      <c r="K112" s="48">
        <f>IF($C$10="junio",2*K91,IF($C$10="diciembre",2*K91,K91))</f>
        <v>176.14</v>
      </c>
      <c r="M112" s="1">
        <v>45</v>
      </c>
      <c r="P112" s="14" t="s">
        <v>41</v>
      </c>
      <c r="R112" s="15">
        <v>194.7482</v>
      </c>
      <c r="S112" s="22">
        <v>6</v>
      </c>
      <c r="T112" s="22"/>
      <c r="V112" s="171"/>
      <c r="W112" s="1"/>
      <c r="X112" s="1"/>
    </row>
    <row r="113" spans="11:32" ht="12.95" customHeight="1" x14ac:dyDescent="0.25">
      <c r="K113" s="13">
        <f>IF($C$10="junio",2*K90,IF($C$10="diciembre",2*K90,K90))</f>
        <v>77.12</v>
      </c>
      <c r="M113" s="1">
        <v>46</v>
      </c>
      <c r="P113" s="14" t="s">
        <v>42</v>
      </c>
      <c r="R113" s="15">
        <v>327.19959999999998</v>
      </c>
      <c r="S113" s="22">
        <v>7</v>
      </c>
      <c r="T113" s="22"/>
      <c r="V113" s="171"/>
      <c r="W113" s="1"/>
      <c r="X113" s="1"/>
    </row>
    <row r="114" spans="11:32" ht="12.95" customHeight="1" x14ac:dyDescent="0.25">
      <c r="K114" s="13"/>
      <c r="M114" s="1">
        <v>47</v>
      </c>
      <c r="P114" s="14" t="s">
        <v>43</v>
      </c>
      <c r="R114" s="15">
        <v>313.5949</v>
      </c>
      <c r="S114" s="22">
        <v>8</v>
      </c>
      <c r="T114" s="22"/>
      <c r="V114" s="171"/>
      <c r="W114" s="1"/>
      <c r="X114" s="1"/>
      <c r="AA114" s="3"/>
      <c r="AB114" s="3"/>
    </row>
    <row r="115" spans="11:32" ht="12.95" customHeight="1" x14ac:dyDescent="0.25">
      <c r="M115" s="1">
        <v>48</v>
      </c>
      <c r="P115" s="14" t="s">
        <v>44</v>
      </c>
      <c r="R115" s="15">
        <v>243.41</v>
      </c>
      <c r="S115" s="25">
        <v>1</v>
      </c>
      <c r="T115" s="25"/>
      <c r="V115" s="171"/>
      <c r="W115" s="1"/>
      <c r="X115" s="1"/>
      <c r="AA115" s="3"/>
      <c r="AB115" s="3"/>
    </row>
    <row r="116" spans="11:32" ht="12.95" customHeight="1" x14ac:dyDescent="0.25">
      <c r="M116" s="1">
        <v>49</v>
      </c>
      <c r="P116" s="14" t="s">
        <v>45</v>
      </c>
      <c r="R116" s="15">
        <v>194.7482</v>
      </c>
      <c r="S116" s="25">
        <v>2</v>
      </c>
      <c r="T116" s="25"/>
      <c r="V116" s="171"/>
      <c r="W116" s="1"/>
      <c r="X116" s="1"/>
    </row>
    <row r="117" spans="11:32" ht="12.95" customHeight="1" x14ac:dyDescent="0.25">
      <c r="M117" s="1">
        <v>50</v>
      </c>
      <c r="P117" s="14" t="s">
        <v>46</v>
      </c>
      <c r="R117" s="15">
        <v>163.59979999999999</v>
      </c>
      <c r="S117" s="25">
        <v>3</v>
      </c>
      <c r="T117" s="25"/>
      <c r="V117" s="171"/>
      <c r="W117" s="1"/>
      <c r="X117" s="1"/>
      <c r="AA117" s="3"/>
      <c r="AB117" s="3"/>
    </row>
    <row r="118" spans="11:32" ht="12.95" customHeight="1" x14ac:dyDescent="0.25">
      <c r="P118" s="16" t="s">
        <v>47</v>
      </c>
      <c r="R118" s="15">
        <v>156.80250000000001</v>
      </c>
      <c r="S118" s="25">
        <v>4</v>
      </c>
      <c r="T118" s="25"/>
      <c r="V118" s="171"/>
      <c r="W118" s="1"/>
      <c r="X118" s="1"/>
      <c r="AA118" s="3"/>
      <c r="AB118" s="3"/>
    </row>
    <row r="119" spans="11:32" ht="12.95" customHeight="1" x14ac:dyDescent="0.25">
      <c r="P119" s="16" t="s">
        <v>48</v>
      </c>
      <c r="R119" s="15">
        <v>121.7252</v>
      </c>
      <c r="S119" s="25">
        <v>5</v>
      </c>
      <c r="T119" s="25"/>
      <c r="V119" s="171"/>
      <c r="W119" s="1"/>
      <c r="X119" s="1"/>
      <c r="AA119" s="3"/>
      <c r="AB119" s="3"/>
    </row>
    <row r="120" spans="11:32" ht="12.95" customHeight="1" x14ac:dyDescent="0.25">
      <c r="P120" s="16" t="s">
        <v>49</v>
      </c>
      <c r="R120" s="15">
        <v>97.384200000000007</v>
      </c>
      <c r="S120" s="25">
        <v>5</v>
      </c>
      <c r="T120" s="25"/>
      <c r="V120" s="171"/>
      <c r="W120" s="1"/>
      <c r="X120" s="1"/>
      <c r="AA120" s="3"/>
      <c r="AB120" s="3"/>
    </row>
    <row r="121" spans="11:32" ht="12.95" customHeight="1" x14ac:dyDescent="0.25">
      <c r="P121" s="16" t="s">
        <v>66</v>
      </c>
      <c r="Q121" s="17"/>
      <c r="R121" s="15">
        <v>74.659199999999998</v>
      </c>
      <c r="S121" s="25">
        <v>7</v>
      </c>
      <c r="T121" s="25"/>
      <c r="V121" s="171"/>
      <c r="W121" s="1"/>
      <c r="X121" s="1"/>
      <c r="AA121" s="3"/>
      <c r="AB121" s="3"/>
    </row>
    <row r="122" spans="11:32" ht="12.95" customHeight="1" x14ac:dyDescent="0.25">
      <c r="S122" s="25">
        <v>8</v>
      </c>
      <c r="T122" s="25"/>
      <c r="W122" s="1"/>
      <c r="X122" s="1"/>
      <c r="AA122" s="3"/>
      <c r="AB122" s="3"/>
    </row>
    <row r="123" spans="11:32" ht="12.95" customHeight="1" x14ac:dyDescent="0.2">
      <c r="T123" s="20">
        <f>IF(B34=P76,Q76,IF(B34=P77,Q77,IF(B34=P78,Q78,IF(B34=P79,Q79,IF(B34=P80,Q80,IF(B34=P81,Q81,IF(B34=P82,Q82,V123)))))))</f>
        <v>0</v>
      </c>
      <c r="U123" s="20">
        <f>IF(B34=P76,R76,IF(B34=P77,R77,IF(B34=P78,R78,IF(B34=P79,R79,IF(B34=P80,R80,IF(B34=P81,R81,IF(B34=P82,R82,W123)))))))</f>
        <v>0</v>
      </c>
      <c r="V123" s="21">
        <f>IF(B34=P83,Q83,IF(B34=P84,Q84,IF(B34=P85,Q85,IF(B34=P86,Q86,IF(B34=P87,Q87,IF(B34=P88,Q88,IF(B34=P89,Q89,IF(B34=P90,Q90,X123))))))))</f>
        <v>0</v>
      </c>
      <c r="W123" s="21">
        <f>IF(B34=P83,R83,IF(B34=P84,R84,IF(B34=P85,R85,IF(B34=P86,R86,IF(B34=P87,R87,IF(B34=P88,R88,IF(B34=P89,R89,IF(B34=P90,R90,Y123))))))))</f>
        <v>0</v>
      </c>
      <c r="X123" s="23">
        <f>IF(B34=P91,Q91,IF(B34=P92,Q92,IF(B34=P93,Q93,IF(B34=P94,Q94,IF(B34=P95,Q95,IF(B34=P96,Q96,IF(B34=P97,Q97,IF(B34=P98,Q98,Z123))))))))</f>
        <v>0</v>
      </c>
      <c r="Y123" s="23">
        <f>IF(B34=P91,R91,IF(B34=P92,R92,IF(B34=P93,R93,IF(B34=P94,R94,IF(B34=P95,R95,IF(B34=P96,R96,IF(B34=P97,R97,IF(B34=P98,R98,AA123))))))))</f>
        <v>0</v>
      </c>
      <c r="Z123" s="23">
        <f>IF(B34=P99,Q99,IF(B34=P100,Q100,IF(B34=P101,Q101,IF(B34=P102,Q102,IF(B34=P103,Q103,IF(B34=P104,Q104,IF(B34=P105,Q105,IF(B34=P106,Q106,AB123))))))))</f>
        <v>0</v>
      </c>
      <c r="AA123" s="23">
        <f>IF(B34=P99,R99,IF(B34=P100,R100,IF(B34=P101,R101,IF(B34=P102,R102,IF(B34=P103,R103,IF(B34=P104,R104,IF(B34=P105,R105,IF(B34=P106,R106,AC123))))))))</f>
        <v>0</v>
      </c>
      <c r="AB123" s="23">
        <f>IF(B34=P107,Q107,IF(B34=P108,Q108,IF(B34=P109,Q109,IF(B34=P110,Q110,IF(B34=P111,Q111,IF(B34=P112,Q112,IF(B34=P113,Q113,IF(B34=P114,Q114,AD123))))))))</f>
        <v>0</v>
      </c>
      <c r="AC123" s="23">
        <f>IF(B34=P107,R107,IF(B34=P108,R108,IF(B34=P109,R109,IF(B34=P110,R110,IF(B34=P111,R111,IF(B34=P112,R112,IF(B34=P113,R113,IF(B34=P114,R114,AE123))))))))</f>
        <v>0</v>
      </c>
      <c r="AD123" s="23">
        <f>IF(B34=P115,Q115,IF(B34=P116,Q116,IF(B34=P117,Q117,IF(B34=P118,Q118,IF(B34=P119,Q119,IF(B34=P120,Q120,IF(B34=P121,Q121,IF(B34=P122,Q122,AE123))))))))</f>
        <v>0</v>
      </c>
      <c r="AE123" s="23">
        <f>IF(B34=P115,R115,IF(B34=P116,R116,IF(B34=P117,R117,IF(B34=P118,R118,IF(B34=P119,R119,IF(B34=P120,#REF!,IF(B34=P121,R121,IF(B34=P122,R122,AF123))))))))</f>
        <v>0</v>
      </c>
      <c r="AF123" s="1">
        <v>0</v>
      </c>
    </row>
    <row r="124" spans="11:32" ht="12.95" customHeight="1" x14ac:dyDescent="0.25">
      <c r="U124" s="20">
        <f>IF(B35=P76,R76,IF(B35=P77,R77,IF(B35=P78,R78,IF(B35=P79,R79,IF(B35=P80,R80,IF(B35=P81,R81,IF(B35=P82,R82,IF(B35=59,R83,W124))))))))</f>
        <v>0</v>
      </c>
      <c r="W124" s="21">
        <f>IF(B35=P84,R84,IF(B35=P85,R85,IF(B35=P86,R86,IF(B35=P87,R87,IF(B35=P88,R88,IF(B35=P89,R89,IF(B35=P90,R90,IF(B35=P91,R91,Y124))))))))</f>
        <v>0</v>
      </c>
      <c r="X124" s="1"/>
      <c r="Y124" s="23">
        <f>IF(B35=P92,R92,IF(B35=P93,R93,IF(B35=P94,R94,IF(B35=P95,R95,IF(B35=P96,R96,IF(B35=P97,R97,IF(B35=P98,R98,IF(B35=P99,R99,AA124))))))))</f>
        <v>0</v>
      </c>
      <c r="AA124" s="23">
        <f>IF(B35=P100,R100,IF(B35=P101,R101,IF(B35=P102,R102,IF(B35=P103,R103,IF(B35=P104,R104,IF(B35=P105,R105,IF(B35=P106,R106,IF(B35=P107,R107,AC124))))))))</f>
        <v>0</v>
      </c>
      <c r="AB124" s="3"/>
      <c r="AC124" s="23">
        <f>IF(B35=P108,R108,IF(B35=P109,R109,IF(B35=P110,R110,IF(B35=P111,R111,IF(B35=P112,R112,IF(B35=P113,R113,IF(B35=P114,R114,IF(B35=P115,R115,AE124))))))))</f>
        <v>0</v>
      </c>
      <c r="AD124" s="23"/>
      <c r="AE124" s="23">
        <f>IF(B35=P116,R116,IF(B35=P117,R117,IF(B35=P118,R118,IF(B35=P119,R119,IF(B35=P120,#REF!,IF(B35=P121,R121,IF(B35=P122,R122,IF(B35=P123,R123,AF124))))))))</f>
        <v>0</v>
      </c>
      <c r="AF124" s="1">
        <v>0</v>
      </c>
    </row>
    <row r="125" spans="11:32" ht="12.95" customHeight="1" x14ac:dyDescent="0.25">
      <c r="W125" s="1"/>
      <c r="X125" s="1"/>
      <c r="AA125" s="3"/>
      <c r="AB125" s="3"/>
    </row>
    <row r="126" spans="11:32" ht="12.95" customHeight="1" x14ac:dyDescent="0.25">
      <c r="W126" s="1"/>
      <c r="X126" s="1"/>
      <c r="AA126" s="3"/>
      <c r="AB126" s="3"/>
    </row>
    <row r="127" spans="11:32" ht="12.95" customHeight="1" x14ac:dyDescent="0.25">
      <c r="W127" s="1"/>
      <c r="X127" s="1"/>
      <c r="AA127" s="3"/>
      <c r="AB127" s="3"/>
    </row>
    <row r="128" spans="11:32" ht="12.95" customHeight="1" x14ac:dyDescent="0.25">
      <c r="W128" s="1"/>
      <c r="X128" s="1"/>
      <c r="AA128" s="3"/>
      <c r="AB128" s="3"/>
    </row>
    <row r="129" spans="23:28" ht="12.95" customHeight="1" x14ac:dyDescent="0.25">
      <c r="W129" s="1"/>
      <c r="X129" s="1"/>
      <c r="AA129" s="3"/>
      <c r="AB129" s="3"/>
    </row>
    <row r="130" spans="23:28" ht="12.95" customHeight="1" x14ac:dyDescent="0.25">
      <c r="W130" s="1"/>
      <c r="X130" s="1"/>
      <c r="AA130" s="3"/>
      <c r="AB130" s="3"/>
    </row>
    <row r="131" spans="23:28" ht="12.95" customHeight="1" x14ac:dyDescent="0.25">
      <c r="W131" s="1"/>
      <c r="X131" s="1"/>
      <c r="AA131" s="3"/>
      <c r="AB131" s="3"/>
    </row>
    <row r="132" spans="23:28" ht="12.95" customHeight="1" x14ac:dyDescent="0.25">
      <c r="W132" s="1"/>
      <c r="X132" s="1"/>
      <c r="AA132" s="3"/>
      <c r="AB132" s="3"/>
    </row>
    <row r="133" spans="23:28" ht="12.95" customHeight="1" x14ac:dyDescent="0.25">
      <c r="W133" s="1"/>
      <c r="X133" s="1"/>
      <c r="AA133" s="3"/>
      <c r="AB133" s="3"/>
    </row>
    <row r="134" spans="23:28" ht="12.95" customHeight="1" x14ac:dyDescent="0.25">
      <c r="W134" s="1"/>
      <c r="X134" s="1"/>
      <c r="AA134" s="3"/>
      <c r="AB134" s="3"/>
    </row>
    <row r="135" spans="23:28" ht="12.95" customHeight="1" x14ac:dyDescent="0.25">
      <c r="W135" s="1"/>
      <c r="X135" s="1"/>
      <c r="AA135" s="3"/>
      <c r="AB135" s="3"/>
    </row>
    <row r="136" spans="23:28" ht="12.95" customHeight="1" x14ac:dyDescent="0.25">
      <c r="W136" s="1"/>
      <c r="X136" s="1"/>
      <c r="AA136" s="3"/>
      <c r="AB136" s="3"/>
    </row>
    <row r="137" spans="23:28" ht="12.95" customHeight="1" x14ac:dyDescent="0.25">
      <c r="W137" s="1"/>
      <c r="X137" s="1"/>
      <c r="AA137" s="3"/>
      <c r="AB137" s="3"/>
    </row>
    <row r="138" spans="23:28" ht="12.95" customHeight="1" x14ac:dyDescent="0.25">
      <c r="W138" s="1"/>
      <c r="X138" s="1"/>
      <c r="AA138" s="3"/>
      <c r="AB138" s="3"/>
    </row>
    <row r="139" spans="23:28" ht="12.95" customHeight="1" x14ac:dyDescent="0.25">
      <c r="W139" s="1"/>
      <c r="X139" s="1"/>
      <c r="AA139" s="3"/>
      <c r="AB139" s="3"/>
    </row>
    <row r="140" spans="23:28" ht="12.95" customHeight="1" x14ac:dyDescent="0.25">
      <c r="W140" s="1"/>
      <c r="X140" s="1"/>
      <c r="AA140" s="3"/>
      <c r="AB140" s="3"/>
    </row>
    <row r="141" spans="23:28" ht="12.95" customHeight="1" x14ac:dyDescent="0.25">
      <c r="W141" s="1"/>
      <c r="X141" s="1"/>
      <c r="AA141" s="3"/>
      <c r="AB141" s="3"/>
    </row>
    <row r="142" spans="23:28" ht="12.95" customHeight="1" x14ac:dyDescent="0.25">
      <c r="W142" s="1"/>
      <c r="X142" s="1"/>
      <c r="AA142" s="3"/>
      <c r="AB142" s="3"/>
    </row>
    <row r="143" spans="23:28" ht="12.95" customHeight="1" x14ac:dyDescent="0.25">
      <c r="W143" s="1"/>
      <c r="X143" s="1"/>
      <c r="AA143" s="3"/>
      <c r="AB143" s="3"/>
    </row>
    <row r="144" spans="23:28" ht="12.95" customHeight="1" x14ac:dyDescent="0.25">
      <c r="W144" s="1"/>
      <c r="X144" s="1"/>
      <c r="AA144" s="3"/>
      <c r="AB144" s="3"/>
    </row>
    <row r="145" spans="23:28" ht="12.95" customHeight="1" x14ac:dyDescent="0.25">
      <c r="W145" s="1"/>
      <c r="X145" s="1"/>
      <c r="AA145" s="3"/>
      <c r="AB145" s="3"/>
    </row>
    <row r="146" spans="23:28" ht="12.95" customHeight="1" x14ac:dyDescent="0.25">
      <c r="W146" s="1"/>
      <c r="X146" s="1"/>
      <c r="AA146" s="3"/>
      <c r="AB146" s="3"/>
    </row>
    <row r="147" spans="23:28" ht="12.95" customHeight="1" x14ac:dyDescent="0.25">
      <c r="W147" s="1"/>
      <c r="X147" s="1"/>
      <c r="AA147" s="3"/>
      <c r="AB147" s="3"/>
    </row>
    <row r="148" spans="23:28" ht="12.95" customHeight="1" x14ac:dyDescent="0.25">
      <c r="W148" s="1"/>
      <c r="X148" s="1"/>
      <c r="AA148" s="3"/>
      <c r="AB148" s="3"/>
    </row>
    <row r="149" spans="23:28" ht="12.95" customHeight="1" x14ac:dyDescent="0.25">
      <c r="W149" s="1"/>
      <c r="X149" s="1"/>
      <c r="AA149" s="3"/>
      <c r="AB149" s="3"/>
    </row>
    <row r="150" spans="23:28" ht="12.95" customHeight="1" x14ac:dyDescent="0.25">
      <c r="W150" s="1"/>
      <c r="X150" s="1"/>
      <c r="AA150" s="3"/>
      <c r="AB150" s="3"/>
    </row>
    <row r="151" spans="23:28" ht="12.95" customHeight="1" x14ac:dyDescent="0.25">
      <c r="W151" s="1"/>
      <c r="X151" s="1"/>
      <c r="AA151" s="3"/>
      <c r="AB151" s="3"/>
    </row>
    <row r="152" spans="23:28" ht="12.95" customHeight="1" x14ac:dyDescent="0.25">
      <c r="W152" s="1"/>
      <c r="X152" s="1"/>
      <c r="AA152" s="3"/>
      <c r="AB152" s="3"/>
    </row>
    <row r="153" spans="23:28" ht="12.95" customHeight="1" x14ac:dyDescent="0.25">
      <c r="W153" s="1"/>
      <c r="X153" s="1"/>
      <c r="AA153" s="3"/>
      <c r="AB153" s="3"/>
    </row>
    <row r="154" spans="23:28" ht="12.95" customHeight="1" x14ac:dyDescent="0.25">
      <c r="W154" s="1"/>
      <c r="X154" s="1"/>
      <c r="AA154" s="3"/>
      <c r="AB154" s="3"/>
    </row>
    <row r="155" spans="23:28" ht="12.95" customHeight="1" x14ac:dyDescent="0.25">
      <c r="W155" s="1"/>
      <c r="X155" s="1"/>
      <c r="AA155" s="3"/>
      <c r="AB155" s="3"/>
    </row>
    <row r="156" spans="23:28" ht="12.95" customHeight="1" x14ac:dyDescent="0.25">
      <c r="W156" s="1"/>
      <c r="X156" s="1"/>
      <c r="AA156" s="3"/>
      <c r="AB156" s="3"/>
    </row>
    <row r="157" spans="23:28" ht="12.95" customHeight="1" x14ac:dyDescent="0.25">
      <c r="W157" s="1"/>
      <c r="X157" s="1"/>
      <c r="AA157" s="3"/>
      <c r="AB157" s="3"/>
    </row>
    <row r="158" spans="23:28" ht="12.95" customHeight="1" x14ac:dyDescent="0.25">
      <c r="W158" s="1"/>
      <c r="X158" s="1"/>
      <c r="AA158" s="3"/>
      <c r="AB158" s="3"/>
    </row>
    <row r="159" spans="23:28" ht="12.95" customHeight="1" x14ac:dyDescent="0.25">
      <c r="W159" s="1"/>
      <c r="X159" s="1"/>
      <c r="AA159" s="3"/>
      <c r="AB159" s="3"/>
    </row>
    <row r="160" spans="23:28" ht="12.95" customHeight="1" x14ac:dyDescent="0.25">
      <c r="W160" s="1"/>
      <c r="X160" s="1"/>
      <c r="AA160" s="3"/>
      <c r="AB160" s="3"/>
    </row>
    <row r="161" spans="23:28" ht="12.95" customHeight="1" x14ac:dyDescent="0.25">
      <c r="W161" s="1"/>
      <c r="X161" s="1"/>
      <c r="AA161" s="3"/>
      <c r="AB161" s="3"/>
    </row>
    <row r="162" spans="23:28" ht="12.95" customHeight="1" x14ac:dyDescent="0.25">
      <c r="W162" s="1"/>
      <c r="X162" s="1"/>
      <c r="AA162" s="3"/>
      <c r="AB162" s="3"/>
    </row>
    <row r="163" spans="23:28" ht="12.95" customHeight="1" x14ac:dyDescent="0.25">
      <c r="W163" s="1"/>
      <c r="X163" s="1"/>
      <c r="AA163" s="3"/>
      <c r="AB163" s="3"/>
    </row>
    <row r="164" spans="23:28" ht="12.95" customHeight="1" x14ac:dyDescent="0.25">
      <c r="W164" s="1"/>
      <c r="X164" s="1"/>
      <c r="AA164" s="3"/>
      <c r="AB164" s="3"/>
    </row>
    <row r="165" spans="23:28" ht="12.95" customHeight="1" x14ac:dyDescent="0.25">
      <c r="W165" s="1"/>
      <c r="X165" s="1"/>
      <c r="AA165" s="3"/>
      <c r="AB165" s="3"/>
    </row>
    <row r="166" spans="23:28" ht="12.95" customHeight="1" x14ac:dyDescent="0.25">
      <c r="W166" s="1"/>
      <c r="X166" s="1"/>
      <c r="AA166" s="3"/>
      <c r="AB166" s="3"/>
    </row>
    <row r="167" spans="23:28" ht="12.95" customHeight="1" x14ac:dyDescent="0.25">
      <c r="W167" s="1"/>
      <c r="X167" s="1"/>
      <c r="AA167" s="3"/>
      <c r="AB167" s="3"/>
    </row>
    <row r="168" spans="23:28" ht="12.95" customHeight="1" x14ac:dyDescent="0.25">
      <c r="W168" s="1"/>
      <c r="X168" s="1"/>
      <c r="AA168" s="3"/>
      <c r="AB168" s="3"/>
    </row>
  </sheetData>
  <sheetProtection algorithmName="SHA-512" hashValue="h+4OzNq/qOaiyKIgOAsZhtPEMZ5Siwje8CWivWidCbY/Vt5+tdenjQINT2M7MCpX+epy+cI2Qyp91/gSdR8i6Q==" saltValue="nYX+rem8oL6lm4B056jxqw==" spinCount="100000" sheet="1" selectLockedCells="1"/>
  <mergeCells count="27">
    <mergeCell ref="B62:C62"/>
    <mergeCell ref="B76:C76"/>
    <mergeCell ref="B77:C77"/>
    <mergeCell ref="B51:C51"/>
    <mergeCell ref="E56:G57"/>
    <mergeCell ref="B63:C63"/>
    <mergeCell ref="B56:C56"/>
    <mergeCell ref="B57:C57"/>
    <mergeCell ref="B50:C50"/>
    <mergeCell ref="E12:G12"/>
    <mergeCell ref="C5:D5"/>
    <mergeCell ref="C7:D7"/>
    <mergeCell ref="C6:D6"/>
    <mergeCell ref="C39:D39"/>
    <mergeCell ref="B36:C36"/>
    <mergeCell ref="B1:E1"/>
    <mergeCell ref="B2:E2"/>
    <mergeCell ref="B34:C34"/>
    <mergeCell ref="B35:C35"/>
    <mergeCell ref="C8:D8"/>
    <mergeCell ref="C9:D9"/>
    <mergeCell ref="C10:D10"/>
    <mergeCell ref="C11:D11"/>
    <mergeCell ref="C12:D12"/>
    <mergeCell ref="C13:D13"/>
    <mergeCell ref="C4:E4"/>
    <mergeCell ref="E5:E11"/>
  </mergeCells>
  <dataValidations xWindow="874" yWindow="233" count="11">
    <dataValidation type="list" allowBlank="1" showInputMessage="1" showErrorMessage="1" promptTitle="Nómina con Paga Extra" prompt=" " sqref="C65540" xr:uid="{00000000-0002-0000-0000-000000000000}">
      <formula1>#REF!</formula1>
    </dataValidation>
    <dataValidation type="list" allowBlank="1" showInputMessage="1" showErrorMessage="1" promptTitle="Destino en Isla No Capitalina" prompt=" " sqref="C65538" xr:uid="{00000000-0002-0000-0000-000001000000}">
      <formula1>#REF!</formula1>
    </dataValidation>
    <dataValidation type="list" allowBlank="1" showErrorMessage="1" promptTitle="NÓMINA CON PAGA EXTRA" prompt="- Si la nómina no incluye la paga extra, seleccionar = N_x000a_- Si la nómina incluye la paga extra de Junio, seleccionar = Junio_x000a_- Si la nómina incluye la paga extra de Diciembre, seleccionar = Diciembre" sqref="C10:D10" xr:uid="{00000000-0002-0000-0000-000003000000}">
      <formula1>$L$70:$L$73</formula1>
    </dataValidation>
    <dataValidation type="list" allowBlank="1" showErrorMessage="1" promptTitle="PRIMERO Y SEGUNDO DE LA ESO" prompt="Introducir lo que corresponda" sqref="C9" xr:uid="{00000000-0002-0000-0000-000005000000}">
      <formula1>$L$68:$L$68</formula1>
    </dataValidation>
    <dataValidation type="list" allowBlank="1" showErrorMessage="1" promptTitle="AÑOS DE SERVICIO" prompt="Seleccionar el número de años de servicio a efectos de trienio" sqref="C8" xr:uid="{00000000-0002-0000-0000-000006000000}">
      <formula1>$M$68:$M$117</formula1>
    </dataValidation>
    <dataValidation type="list" allowBlank="1" showInputMessage="1" showErrorMessage="1" sqref="C7:D7" xr:uid="{00000000-0002-0000-0000-000007000000}">
      <formula1>$AG$68:$AG$69</formula1>
    </dataValidation>
    <dataValidation type="list" allowBlank="1" showInputMessage="1" showErrorMessage="1" sqref="C13:D13" xr:uid="{00000000-0002-0000-0000-000008000000}">
      <formula1>$M$68:$M$87</formula1>
    </dataValidation>
    <dataValidation type="list" allowBlank="1" showInputMessage="1" showErrorMessage="1" sqref="B34:C35" xr:uid="{00000000-0002-0000-0000-000009000000}">
      <formula1>$P$68:$P$120</formula1>
    </dataValidation>
    <dataValidation type="list" allowBlank="1" showInputMessage="1" showErrorMessage="1" sqref="C5:D5" xr:uid="{00000000-0002-0000-0000-00000A000000}">
      <formula1>$M$68:$M$97</formula1>
    </dataValidation>
    <dataValidation type="list" allowBlank="1" showInputMessage="1" showErrorMessage="1" sqref="C4:E4" xr:uid="{B3EF0E2E-5C78-41A1-8E14-97C3D78A806B}">
      <formula1>$AG$93:$AG$99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1:D11" xr:uid="{0BF6561F-B386-4CCD-94CA-A56F954955BC}">
      <formula1>$L$68:$L$69</formula1>
    </dataValidation>
  </dataValidations>
  <hyperlinks>
    <hyperlink ref="E12" r:id="rId1" display="Enlace a web para calcular el % IRPF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3"/>
  <sheetViews>
    <sheetView workbookViewId="0">
      <selection activeCell="B22" sqref="B22"/>
    </sheetView>
  </sheetViews>
  <sheetFormatPr baseColWidth="10" defaultRowHeight="15" x14ac:dyDescent="0.25"/>
  <cols>
    <col min="1" max="1" width="82.85546875" style="110" customWidth="1"/>
    <col min="2" max="2" width="11.85546875" style="110" bestFit="1" customWidth="1"/>
    <col min="3" max="3" width="14.28515625" style="110" hidden="1" customWidth="1"/>
    <col min="4" max="4" width="33.5703125" style="110" bestFit="1" customWidth="1"/>
    <col min="5" max="5" width="13.28515625" style="110" bestFit="1" customWidth="1"/>
    <col min="6" max="6" width="12.140625" style="110" bestFit="1" customWidth="1"/>
    <col min="7" max="7" width="10.7109375" style="110" bestFit="1" customWidth="1"/>
    <col min="8" max="8" width="0" style="110" hidden="1" customWidth="1"/>
    <col min="9" max="10" width="11.42578125" style="110"/>
    <col min="11" max="11" width="12" style="110" bestFit="1" customWidth="1"/>
    <col min="12" max="12" width="15.5703125" style="110" customWidth="1"/>
    <col min="13" max="256" width="11.42578125" style="110"/>
    <col min="257" max="257" width="82.85546875" style="110" customWidth="1"/>
    <col min="258" max="258" width="10.42578125" style="110" customWidth="1"/>
    <col min="259" max="259" width="14.28515625" style="110" customWidth="1"/>
    <col min="260" max="261" width="13.28515625" style="110" bestFit="1" customWidth="1"/>
    <col min="262" max="262" width="12.140625" style="110" bestFit="1" customWidth="1"/>
    <col min="263" max="263" width="10.7109375" style="110" bestFit="1" customWidth="1"/>
    <col min="264" max="266" width="11.42578125" style="110"/>
    <col min="267" max="267" width="12" style="110" bestFit="1" customWidth="1"/>
    <col min="268" max="268" width="15.5703125" style="110" customWidth="1"/>
    <col min="269" max="512" width="11.42578125" style="110"/>
    <col min="513" max="513" width="82.85546875" style="110" customWidth="1"/>
    <col min="514" max="514" width="10.42578125" style="110" customWidth="1"/>
    <col min="515" max="515" width="14.28515625" style="110" customWidth="1"/>
    <col min="516" max="517" width="13.28515625" style="110" bestFit="1" customWidth="1"/>
    <col min="518" max="518" width="12.140625" style="110" bestFit="1" customWidth="1"/>
    <col min="519" max="519" width="10.7109375" style="110" bestFit="1" customWidth="1"/>
    <col min="520" max="522" width="11.42578125" style="110"/>
    <col min="523" max="523" width="12" style="110" bestFit="1" customWidth="1"/>
    <col min="524" max="524" width="15.5703125" style="110" customWidth="1"/>
    <col min="525" max="768" width="11.42578125" style="110"/>
    <col min="769" max="769" width="82.85546875" style="110" customWidth="1"/>
    <col min="770" max="770" width="10.42578125" style="110" customWidth="1"/>
    <col min="771" max="771" width="14.28515625" style="110" customWidth="1"/>
    <col min="772" max="773" width="13.28515625" style="110" bestFit="1" customWidth="1"/>
    <col min="774" max="774" width="12.140625" style="110" bestFit="1" customWidth="1"/>
    <col min="775" max="775" width="10.7109375" style="110" bestFit="1" customWidth="1"/>
    <col min="776" max="778" width="11.42578125" style="110"/>
    <col min="779" max="779" width="12" style="110" bestFit="1" customWidth="1"/>
    <col min="780" max="780" width="15.5703125" style="110" customWidth="1"/>
    <col min="781" max="1024" width="11.42578125" style="110"/>
    <col min="1025" max="1025" width="82.85546875" style="110" customWidth="1"/>
    <col min="1026" max="1026" width="10.42578125" style="110" customWidth="1"/>
    <col min="1027" max="1027" width="14.28515625" style="110" customWidth="1"/>
    <col min="1028" max="1029" width="13.28515625" style="110" bestFit="1" customWidth="1"/>
    <col min="1030" max="1030" width="12.140625" style="110" bestFit="1" customWidth="1"/>
    <col min="1031" max="1031" width="10.7109375" style="110" bestFit="1" customWidth="1"/>
    <col min="1032" max="1034" width="11.42578125" style="110"/>
    <col min="1035" max="1035" width="12" style="110" bestFit="1" customWidth="1"/>
    <col min="1036" max="1036" width="15.5703125" style="110" customWidth="1"/>
    <col min="1037" max="1280" width="11.42578125" style="110"/>
    <col min="1281" max="1281" width="82.85546875" style="110" customWidth="1"/>
    <col min="1282" max="1282" width="10.42578125" style="110" customWidth="1"/>
    <col min="1283" max="1283" width="14.28515625" style="110" customWidth="1"/>
    <col min="1284" max="1285" width="13.28515625" style="110" bestFit="1" customWidth="1"/>
    <col min="1286" max="1286" width="12.140625" style="110" bestFit="1" customWidth="1"/>
    <col min="1287" max="1287" width="10.7109375" style="110" bestFit="1" customWidth="1"/>
    <col min="1288" max="1290" width="11.42578125" style="110"/>
    <col min="1291" max="1291" width="12" style="110" bestFit="1" customWidth="1"/>
    <col min="1292" max="1292" width="15.5703125" style="110" customWidth="1"/>
    <col min="1293" max="1536" width="11.42578125" style="110"/>
    <col min="1537" max="1537" width="82.85546875" style="110" customWidth="1"/>
    <col min="1538" max="1538" width="10.42578125" style="110" customWidth="1"/>
    <col min="1539" max="1539" width="14.28515625" style="110" customWidth="1"/>
    <col min="1540" max="1541" width="13.28515625" style="110" bestFit="1" customWidth="1"/>
    <col min="1542" max="1542" width="12.140625" style="110" bestFit="1" customWidth="1"/>
    <col min="1543" max="1543" width="10.7109375" style="110" bestFit="1" customWidth="1"/>
    <col min="1544" max="1546" width="11.42578125" style="110"/>
    <col min="1547" max="1547" width="12" style="110" bestFit="1" customWidth="1"/>
    <col min="1548" max="1548" width="15.5703125" style="110" customWidth="1"/>
    <col min="1549" max="1792" width="11.42578125" style="110"/>
    <col min="1793" max="1793" width="82.85546875" style="110" customWidth="1"/>
    <col min="1794" max="1794" width="10.42578125" style="110" customWidth="1"/>
    <col min="1795" max="1795" width="14.28515625" style="110" customWidth="1"/>
    <col min="1796" max="1797" width="13.28515625" style="110" bestFit="1" customWidth="1"/>
    <col min="1798" max="1798" width="12.140625" style="110" bestFit="1" customWidth="1"/>
    <col min="1799" max="1799" width="10.7109375" style="110" bestFit="1" customWidth="1"/>
    <col min="1800" max="1802" width="11.42578125" style="110"/>
    <col min="1803" max="1803" width="12" style="110" bestFit="1" customWidth="1"/>
    <col min="1804" max="1804" width="15.5703125" style="110" customWidth="1"/>
    <col min="1805" max="2048" width="11.42578125" style="110"/>
    <col min="2049" max="2049" width="82.85546875" style="110" customWidth="1"/>
    <col min="2050" max="2050" width="10.42578125" style="110" customWidth="1"/>
    <col min="2051" max="2051" width="14.28515625" style="110" customWidth="1"/>
    <col min="2052" max="2053" width="13.28515625" style="110" bestFit="1" customWidth="1"/>
    <col min="2054" max="2054" width="12.140625" style="110" bestFit="1" customWidth="1"/>
    <col min="2055" max="2055" width="10.7109375" style="110" bestFit="1" customWidth="1"/>
    <col min="2056" max="2058" width="11.42578125" style="110"/>
    <col min="2059" max="2059" width="12" style="110" bestFit="1" customWidth="1"/>
    <col min="2060" max="2060" width="15.5703125" style="110" customWidth="1"/>
    <col min="2061" max="2304" width="11.42578125" style="110"/>
    <col min="2305" max="2305" width="82.85546875" style="110" customWidth="1"/>
    <col min="2306" max="2306" width="10.42578125" style="110" customWidth="1"/>
    <col min="2307" max="2307" width="14.28515625" style="110" customWidth="1"/>
    <col min="2308" max="2309" width="13.28515625" style="110" bestFit="1" customWidth="1"/>
    <col min="2310" max="2310" width="12.140625" style="110" bestFit="1" customWidth="1"/>
    <col min="2311" max="2311" width="10.7109375" style="110" bestFit="1" customWidth="1"/>
    <col min="2312" max="2314" width="11.42578125" style="110"/>
    <col min="2315" max="2315" width="12" style="110" bestFit="1" customWidth="1"/>
    <col min="2316" max="2316" width="15.5703125" style="110" customWidth="1"/>
    <col min="2317" max="2560" width="11.42578125" style="110"/>
    <col min="2561" max="2561" width="82.85546875" style="110" customWidth="1"/>
    <col min="2562" max="2562" width="10.42578125" style="110" customWidth="1"/>
    <col min="2563" max="2563" width="14.28515625" style="110" customWidth="1"/>
    <col min="2564" max="2565" width="13.28515625" style="110" bestFit="1" customWidth="1"/>
    <col min="2566" max="2566" width="12.140625" style="110" bestFit="1" customWidth="1"/>
    <col min="2567" max="2567" width="10.7109375" style="110" bestFit="1" customWidth="1"/>
    <col min="2568" max="2570" width="11.42578125" style="110"/>
    <col min="2571" max="2571" width="12" style="110" bestFit="1" customWidth="1"/>
    <col min="2572" max="2572" width="15.5703125" style="110" customWidth="1"/>
    <col min="2573" max="2816" width="11.42578125" style="110"/>
    <col min="2817" max="2817" width="82.85546875" style="110" customWidth="1"/>
    <col min="2818" max="2818" width="10.42578125" style="110" customWidth="1"/>
    <col min="2819" max="2819" width="14.28515625" style="110" customWidth="1"/>
    <col min="2820" max="2821" width="13.28515625" style="110" bestFit="1" customWidth="1"/>
    <col min="2822" max="2822" width="12.140625" style="110" bestFit="1" customWidth="1"/>
    <col min="2823" max="2823" width="10.7109375" style="110" bestFit="1" customWidth="1"/>
    <col min="2824" max="2826" width="11.42578125" style="110"/>
    <col min="2827" max="2827" width="12" style="110" bestFit="1" customWidth="1"/>
    <col min="2828" max="2828" width="15.5703125" style="110" customWidth="1"/>
    <col min="2829" max="3072" width="11.42578125" style="110"/>
    <col min="3073" max="3073" width="82.85546875" style="110" customWidth="1"/>
    <col min="3074" max="3074" width="10.42578125" style="110" customWidth="1"/>
    <col min="3075" max="3075" width="14.28515625" style="110" customWidth="1"/>
    <col min="3076" max="3077" width="13.28515625" style="110" bestFit="1" customWidth="1"/>
    <col min="3078" max="3078" width="12.140625" style="110" bestFit="1" customWidth="1"/>
    <col min="3079" max="3079" width="10.7109375" style="110" bestFit="1" customWidth="1"/>
    <col min="3080" max="3082" width="11.42578125" style="110"/>
    <col min="3083" max="3083" width="12" style="110" bestFit="1" customWidth="1"/>
    <col min="3084" max="3084" width="15.5703125" style="110" customWidth="1"/>
    <col min="3085" max="3328" width="11.42578125" style="110"/>
    <col min="3329" max="3329" width="82.85546875" style="110" customWidth="1"/>
    <col min="3330" max="3330" width="10.42578125" style="110" customWidth="1"/>
    <col min="3331" max="3331" width="14.28515625" style="110" customWidth="1"/>
    <col min="3332" max="3333" width="13.28515625" style="110" bestFit="1" customWidth="1"/>
    <col min="3334" max="3334" width="12.140625" style="110" bestFit="1" customWidth="1"/>
    <col min="3335" max="3335" width="10.7109375" style="110" bestFit="1" customWidth="1"/>
    <col min="3336" max="3338" width="11.42578125" style="110"/>
    <col min="3339" max="3339" width="12" style="110" bestFit="1" customWidth="1"/>
    <col min="3340" max="3340" width="15.5703125" style="110" customWidth="1"/>
    <col min="3341" max="3584" width="11.42578125" style="110"/>
    <col min="3585" max="3585" width="82.85546875" style="110" customWidth="1"/>
    <col min="3586" max="3586" width="10.42578125" style="110" customWidth="1"/>
    <col min="3587" max="3587" width="14.28515625" style="110" customWidth="1"/>
    <col min="3588" max="3589" width="13.28515625" style="110" bestFit="1" customWidth="1"/>
    <col min="3590" max="3590" width="12.140625" style="110" bestFit="1" customWidth="1"/>
    <col min="3591" max="3591" width="10.7109375" style="110" bestFit="1" customWidth="1"/>
    <col min="3592" max="3594" width="11.42578125" style="110"/>
    <col min="3595" max="3595" width="12" style="110" bestFit="1" customWidth="1"/>
    <col min="3596" max="3596" width="15.5703125" style="110" customWidth="1"/>
    <col min="3597" max="3840" width="11.42578125" style="110"/>
    <col min="3841" max="3841" width="82.85546875" style="110" customWidth="1"/>
    <col min="3842" max="3842" width="10.42578125" style="110" customWidth="1"/>
    <col min="3843" max="3843" width="14.28515625" style="110" customWidth="1"/>
    <col min="3844" max="3845" width="13.28515625" style="110" bestFit="1" customWidth="1"/>
    <col min="3846" max="3846" width="12.140625" style="110" bestFit="1" customWidth="1"/>
    <col min="3847" max="3847" width="10.7109375" style="110" bestFit="1" customWidth="1"/>
    <col min="3848" max="3850" width="11.42578125" style="110"/>
    <col min="3851" max="3851" width="12" style="110" bestFit="1" customWidth="1"/>
    <col min="3852" max="3852" width="15.5703125" style="110" customWidth="1"/>
    <col min="3853" max="4096" width="11.42578125" style="110"/>
    <col min="4097" max="4097" width="82.85546875" style="110" customWidth="1"/>
    <col min="4098" max="4098" width="10.42578125" style="110" customWidth="1"/>
    <col min="4099" max="4099" width="14.28515625" style="110" customWidth="1"/>
    <col min="4100" max="4101" width="13.28515625" style="110" bestFit="1" customWidth="1"/>
    <col min="4102" max="4102" width="12.140625" style="110" bestFit="1" customWidth="1"/>
    <col min="4103" max="4103" width="10.7109375" style="110" bestFit="1" customWidth="1"/>
    <col min="4104" max="4106" width="11.42578125" style="110"/>
    <col min="4107" max="4107" width="12" style="110" bestFit="1" customWidth="1"/>
    <col min="4108" max="4108" width="15.5703125" style="110" customWidth="1"/>
    <col min="4109" max="4352" width="11.42578125" style="110"/>
    <col min="4353" max="4353" width="82.85546875" style="110" customWidth="1"/>
    <col min="4354" max="4354" width="10.42578125" style="110" customWidth="1"/>
    <col min="4355" max="4355" width="14.28515625" style="110" customWidth="1"/>
    <col min="4356" max="4357" width="13.28515625" style="110" bestFit="1" customWidth="1"/>
    <col min="4358" max="4358" width="12.140625" style="110" bestFit="1" customWidth="1"/>
    <col min="4359" max="4359" width="10.7109375" style="110" bestFit="1" customWidth="1"/>
    <col min="4360" max="4362" width="11.42578125" style="110"/>
    <col min="4363" max="4363" width="12" style="110" bestFit="1" customWidth="1"/>
    <col min="4364" max="4364" width="15.5703125" style="110" customWidth="1"/>
    <col min="4365" max="4608" width="11.42578125" style="110"/>
    <col min="4609" max="4609" width="82.85546875" style="110" customWidth="1"/>
    <col min="4610" max="4610" width="10.42578125" style="110" customWidth="1"/>
    <col min="4611" max="4611" width="14.28515625" style="110" customWidth="1"/>
    <col min="4612" max="4613" width="13.28515625" style="110" bestFit="1" customWidth="1"/>
    <col min="4614" max="4614" width="12.140625" style="110" bestFit="1" customWidth="1"/>
    <col min="4615" max="4615" width="10.7109375" style="110" bestFit="1" customWidth="1"/>
    <col min="4616" max="4618" width="11.42578125" style="110"/>
    <col min="4619" max="4619" width="12" style="110" bestFit="1" customWidth="1"/>
    <col min="4620" max="4620" width="15.5703125" style="110" customWidth="1"/>
    <col min="4621" max="4864" width="11.42578125" style="110"/>
    <col min="4865" max="4865" width="82.85546875" style="110" customWidth="1"/>
    <col min="4866" max="4866" width="10.42578125" style="110" customWidth="1"/>
    <col min="4867" max="4867" width="14.28515625" style="110" customWidth="1"/>
    <col min="4868" max="4869" width="13.28515625" style="110" bestFit="1" customWidth="1"/>
    <col min="4870" max="4870" width="12.140625" style="110" bestFit="1" customWidth="1"/>
    <col min="4871" max="4871" width="10.7109375" style="110" bestFit="1" customWidth="1"/>
    <col min="4872" max="4874" width="11.42578125" style="110"/>
    <col min="4875" max="4875" width="12" style="110" bestFit="1" customWidth="1"/>
    <col min="4876" max="4876" width="15.5703125" style="110" customWidth="1"/>
    <col min="4877" max="5120" width="11.42578125" style="110"/>
    <col min="5121" max="5121" width="82.85546875" style="110" customWidth="1"/>
    <col min="5122" max="5122" width="10.42578125" style="110" customWidth="1"/>
    <col min="5123" max="5123" width="14.28515625" style="110" customWidth="1"/>
    <col min="5124" max="5125" width="13.28515625" style="110" bestFit="1" customWidth="1"/>
    <col min="5126" max="5126" width="12.140625" style="110" bestFit="1" customWidth="1"/>
    <col min="5127" max="5127" width="10.7109375" style="110" bestFit="1" customWidth="1"/>
    <col min="5128" max="5130" width="11.42578125" style="110"/>
    <col min="5131" max="5131" width="12" style="110" bestFit="1" customWidth="1"/>
    <col min="5132" max="5132" width="15.5703125" style="110" customWidth="1"/>
    <col min="5133" max="5376" width="11.42578125" style="110"/>
    <col min="5377" max="5377" width="82.85546875" style="110" customWidth="1"/>
    <col min="5378" max="5378" width="10.42578125" style="110" customWidth="1"/>
    <col min="5379" max="5379" width="14.28515625" style="110" customWidth="1"/>
    <col min="5380" max="5381" width="13.28515625" style="110" bestFit="1" customWidth="1"/>
    <col min="5382" max="5382" width="12.140625" style="110" bestFit="1" customWidth="1"/>
    <col min="5383" max="5383" width="10.7109375" style="110" bestFit="1" customWidth="1"/>
    <col min="5384" max="5386" width="11.42578125" style="110"/>
    <col min="5387" max="5387" width="12" style="110" bestFit="1" customWidth="1"/>
    <col min="5388" max="5388" width="15.5703125" style="110" customWidth="1"/>
    <col min="5389" max="5632" width="11.42578125" style="110"/>
    <col min="5633" max="5633" width="82.85546875" style="110" customWidth="1"/>
    <col min="5634" max="5634" width="10.42578125" style="110" customWidth="1"/>
    <col min="5635" max="5635" width="14.28515625" style="110" customWidth="1"/>
    <col min="5636" max="5637" width="13.28515625" style="110" bestFit="1" customWidth="1"/>
    <col min="5638" max="5638" width="12.140625" style="110" bestFit="1" customWidth="1"/>
    <col min="5639" max="5639" width="10.7109375" style="110" bestFit="1" customWidth="1"/>
    <col min="5640" max="5642" width="11.42578125" style="110"/>
    <col min="5643" max="5643" width="12" style="110" bestFit="1" customWidth="1"/>
    <col min="5644" max="5644" width="15.5703125" style="110" customWidth="1"/>
    <col min="5645" max="5888" width="11.42578125" style="110"/>
    <col min="5889" max="5889" width="82.85546875" style="110" customWidth="1"/>
    <col min="5890" max="5890" width="10.42578125" style="110" customWidth="1"/>
    <col min="5891" max="5891" width="14.28515625" style="110" customWidth="1"/>
    <col min="5892" max="5893" width="13.28515625" style="110" bestFit="1" customWidth="1"/>
    <col min="5894" max="5894" width="12.140625" style="110" bestFit="1" customWidth="1"/>
    <col min="5895" max="5895" width="10.7109375" style="110" bestFit="1" customWidth="1"/>
    <col min="5896" max="5898" width="11.42578125" style="110"/>
    <col min="5899" max="5899" width="12" style="110" bestFit="1" customWidth="1"/>
    <col min="5900" max="5900" width="15.5703125" style="110" customWidth="1"/>
    <col min="5901" max="6144" width="11.42578125" style="110"/>
    <col min="6145" max="6145" width="82.85546875" style="110" customWidth="1"/>
    <col min="6146" max="6146" width="10.42578125" style="110" customWidth="1"/>
    <col min="6147" max="6147" width="14.28515625" style="110" customWidth="1"/>
    <col min="6148" max="6149" width="13.28515625" style="110" bestFit="1" customWidth="1"/>
    <col min="6150" max="6150" width="12.140625" style="110" bestFit="1" customWidth="1"/>
    <col min="6151" max="6151" width="10.7109375" style="110" bestFit="1" customWidth="1"/>
    <col min="6152" max="6154" width="11.42578125" style="110"/>
    <col min="6155" max="6155" width="12" style="110" bestFit="1" customWidth="1"/>
    <col min="6156" max="6156" width="15.5703125" style="110" customWidth="1"/>
    <col min="6157" max="6400" width="11.42578125" style="110"/>
    <col min="6401" max="6401" width="82.85546875" style="110" customWidth="1"/>
    <col min="6402" max="6402" width="10.42578125" style="110" customWidth="1"/>
    <col min="6403" max="6403" width="14.28515625" style="110" customWidth="1"/>
    <col min="6404" max="6405" width="13.28515625" style="110" bestFit="1" customWidth="1"/>
    <col min="6406" max="6406" width="12.140625" style="110" bestFit="1" customWidth="1"/>
    <col min="6407" max="6407" width="10.7109375" style="110" bestFit="1" customWidth="1"/>
    <col min="6408" max="6410" width="11.42578125" style="110"/>
    <col min="6411" max="6411" width="12" style="110" bestFit="1" customWidth="1"/>
    <col min="6412" max="6412" width="15.5703125" style="110" customWidth="1"/>
    <col min="6413" max="6656" width="11.42578125" style="110"/>
    <col min="6657" max="6657" width="82.85546875" style="110" customWidth="1"/>
    <col min="6658" max="6658" width="10.42578125" style="110" customWidth="1"/>
    <col min="6659" max="6659" width="14.28515625" style="110" customWidth="1"/>
    <col min="6660" max="6661" width="13.28515625" style="110" bestFit="1" customWidth="1"/>
    <col min="6662" max="6662" width="12.140625" style="110" bestFit="1" customWidth="1"/>
    <col min="6663" max="6663" width="10.7109375" style="110" bestFit="1" customWidth="1"/>
    <col min="6664" max="6666" width="11.42578125" style="110"/>
    <col min="6667" max="6667" width="12" style="110" bestFit="1" customWidth="1"/>
    <col min="6668" max="6668" width="15.5703125" style="110" customWidth="1"/>
    <col min="6669" max="6912" width="11.42578125" style="110"/>
    <col min="6913" max="6913" width="82.85546875" style="110" customWidth="1"/>
    <col min="6914" max="6914" width="10.42578125" style="110" customWidth="1"/>
    <col min="6915" max="6915" width="14.28515625" style="110" customWidth="1"/>
    <col min="6916" max="6917" width="13.28515625" style="110" bestFit="1" customWidth="1"/>
    <col min="6918" max="6918" width="12.140625" style="110" bestFit="1" customWidth="1"/>
    <col min="6919" max="6919" width="10.7109375" style="110" bestFit="1" customWidth="1"/>
    <col min="6920" max="6922" width="11.42578125" style="110"/>
    <col min="6923" max="6923" width="12" style="110" bestFit="1" customWidth="1"/>
    <col min="6924" max="6924" width="15.5703125" style="110" customWidth="1"/>
    <col min="6925" max="7168" width="11.42578125" style="110"/>
    <col min="7169" max="7169" width="82.85546875" style="110" customWidth="1"/>
    <col min="7170" max="7170" width="10.42578125" style="110" customWidth="1"/>
    <col min="7171" max="7171" width="14.28515625" style="110" customWidth="1"/>
    <col min="7172" max="7173" width="13.28515625" style="110" bestFit="1" customWidth="1"/>
    <col min="7174" max="7174" width="12.140625" style="110" bestFit="1" customWidth="1"/>
    <col min="7175" max="7175" width="10.7109375" style="110" bestFit="1" customWidth="1"/>
    <col min="7176" max="7178" width="11.42578125" style="110"/>
    <col min="7179" max="7179" width="12" style="110" bestFit="1" customWidth="1"/>
    <col min="7180" max="7180" width="15.5703125" style="110" customWidth="1"/>
    <col min="7181" max="7424" width="11.42578125" style="110"/>
    <col min="7425" max="7425" width="82.85546875" style="110" customWidth="1"/>
    <col min="7426" max="7426" width="10.42578125" style="110" customWidth="1"/>
    <col min="7427" max="7427" width="14.28515625" style="110" customWidth="1"/>
    <col min="7428" max="7429" width="13.28515625" style="110" bestFit="1" customWidth="1"/>
    <col min="7430" max="7430" width="12.140625" style="110" bestFit="1" customWidth="1"/>
    <col min="7431" max="7431" width="10.7109375" style="110" bestFit="1" customWidth="1"/>
    <col min="7432" max="7434" width="11.42578125" style="110"/>
    <col min="7435" max="7435" width="12" style="110" bestFit="1" customWidth="1"/>
    <col min="7436" max="7436" width="15.5703125" style="110" customWidth="1"/>
    <col min="7437" max="7680" width="11.42578125" style="110"/>
    <col min="7681" max="7681" width="82.85546875" style="110" customWidth="1"/>
    <col min="7682" max="7682" width="10.42578125" style="110" customWidth="1"/>
    <col min="7683" max="7683" width="14.28515625" style="110" customWidth="1"/>
    <col min="7684" max="7685" width="13.28515625" style="110" bestFit="1" customWidth="1"/>
    <col min="7686" max="7686" width="12.140625" style="110" bestFit="1" customWidth="1"/>
    <col min="7687" max="7687" width="10.7109375" style="110" bestFit="1" customWidth="1"/>
    <col min="7688" max="7690" width="11.42578125" style="110"/>
    <col min="7691" max="7691" width="12" style="110" bestFit="1" customWidth="1"/>
    <col min="7692" max="7692" width="15.5703125" style="110" customWidth="1"/>
    <col min="7693" max="7936" width="11.42578125" style="110"/>
    <col min="7937" max="7937" width="82.85546875" style="110" customWidth="1"/>
    <col min="7938" max="7938" width="10.42578125" style="110" customWidth="1"/>
    <col min="7939" max="7939" width="14.28515625" style="110" customWidth="1"/>
    <col min="7940" max="7941" width="13.28515625" style="110" bestFit="1" customWidth="1"/>
    <col min="7942" max="7942" width="12.140625" style="110" bestFit="1" customWidth="1"/>
    <col min="7943" max="7943" width="10.7109375" style="110" bestFit="1" customWidth="1"/>
    <col min="7944" max="7946" width="11.42578125" style="110"/>
    <col min="7947" max="7947" width="12" style="110" bestFit="1" customWidth="1"/>
    <col min="7948" max="7948" width="15.5703125" style="110" customWidth="1"/>
    <col min="7949" max="8192" width="11.42578125" style="110"/>
    <col min="8193" max="8193" width="82.85546875" style="110" customWidth="1"/>
    <col min="8194" max="8194" width="10.42578125" style="110" customWidth="1"/>
    <col min="8195" max="8195" width="14.28515625" style="110" customWidth="1"/>
    <col min="8196" max="8197" width="13.28515625" style="110" bestFit="1" customWidth="1"/>
    <col min="8198" max="8198" width="12.140625" style="110" bestFit="1" customWidth="1"/>
    <col min="8199" max="8199" width="10.7109375" style="110" bestFit="1" customWidth="1"/>
    <col min="8200" max="8202" width="11.42578125" style="110"/>
    <col min="8203" max="8203" width="12" style="110" bestFit="1" customWidth="1"/>
    <col min="8204" max="8204" width="15.5703125" style="110" customWidth="1"/>
    <col min="8205" max="8448" width="11.42578125" style="110"/>
    <col min="8449" max="8449" width="82.85546875" style="110" customWidth="1"/>
    <col min="8450" max="8450" width="10.42578125" style="110" customWidth="1"/>
    <col min="8451" max="8451" width="14.28515625" style="110" customWidth="1"/>
    <col min="8452" max="8453" width="13.28515625" style="110" bestFit="1" customWidth="1"/>
    <col min="8454" max="8454" width="12.140625" style="110" bestFit="1" customWidth="1"/>
    <col min="8455" max="8455" width="10.7109375" style="110" bestFit="1" customWidth="1"/>
    <col min="8456" max="8458" width="11.42578125" style="110"/>
    <col min="8459" max="8459" width="12" style="110" bestFit="1" customWidth="1"/>
    <col min="8460" max="8460" width="15.5703125" style="110" customWidth="1"/>
    <col min="8461" max="8704" width="11.42578125" style="110"/>
    <col min="8705" max="8705" width="82.85546875" style="110" customWidth="1"/>
    <col min="8706" max="8706" width="10.42578125" style="110" customWidth="1"/>
    <col min="8707" max="8707" width="14.28515625" style="110" customWidth="1"/>
    <col min="8708" max="8709" width="13.28515625" style="110" bestFit="1" customWidth="1"/>
    <col min="8710" max="8710" width="12.140625" style="110" bestFit="1" customWidth="1"/>
    <col min="8711" max="8711" width="10.7109375" style="110" bestFit="1" customWidth="1"/>
    <col min="8712" max="8714" width="11.42578125" style="110"/>
    <col min="8715" max="8715" width="12" style="110" bestFit="1" customWidth="1"/>
    <col min="8716" max="8716" width="15.5703125" style="110" customWidth="1"/>
    <col min="8717" max="8960" width="11.42578125" style="110"/>
    <col min="8961" max="8961" width="82.85546875" style="110" customWidth="1"/>
    <col min="8962" max="8962" width="10.42578125" style="110" customWidth="1"/>
    <col min="8963" max="8963" width="14.28515625" style="110" customWidth="1"/>
    <col min="8964" max="8965" width="13.28515625" style="110" bestFit="1" customWidth="1"/>
    <col min="8966" max="8966" width="12.140625" style="110" bestFit="1" customWidth="1"/>
    <col min="8967" max="8967" width="10.7109375" style="110" bestFit="1" customWidth="1"/>
    <col min="8968" max="8970" width="11.42578125" style="110"/>
    <col min="8971" max="8971" width="12" style="110" bestFit="1" customWidth="1"/>
    <col min="8972" max="8972" width="15.5703125" style="110" customWidth="1"/>
    <col min="8973" max="9216" width="11.42578125" style="110"/>
    <col min="9217" max="9217" width="82.85546875" style="110" customWidth="1"/>
    <col min="9218" max="9218" width="10.42578125" style="110" customWidth="1"/>
    <col min="9219" max="9219" width="14.28515625" style="110" customWidth="1"/>
    <col min="9220" max="9221" width="13.28515625" style="110" bestFit="1" customWidth="1"/>
    <col min="9222" max="9222" width="12.140625" style="110" bestFit="1" customWidth="1"/>
    <col min="9223" max="9223" width="10.7109375" style="110" bestFit="1" customWidth="1"/>
    <col min="9224" max="9226" width="11.42578125" style="110"/>
    <col min="9227" max="9227" width="12" style="110" bestFit="1" customWidth="1"/>
    <col min="9228" max="9228" width="15.5703125" style="110" customWidth="1"/>
    <col min="9229" max="9472" width="11.42578125" style="110"/>
    <col min="9473" max="9473" width="82.85546875" style="110" customWidth="1"/>
    <col min="9474" max="9474" width="10.42578125" style="110" customWidth="1"/>
    <col min="9475" max="9475" width="14.28515625" style="110" customWidth="1"/>
    <col min="9476" max="9477" width="13.28515625" style="110" bestFit="1" customWidth="1"/>
    <col min="9478" max="9478" width="12.140625" style="110" bestFit="1" customWidth="1"/>
    <col min="9479" max="9479" width="10.7109375" style="110" bestFit="1" customWidth="1"/>
    <col min="9480" max="9482" width="11.42578125" style="110"/>
    <col min="9483" max="9483" width="12" style="110" bestFit="1" customWidth="1"/>
    <col min="9484" max="9484" width="15.5703125" style="110" customWidth="1"/>
    <col min="9485" max="9728" width="11.42578125" style="110"/>
    <col min="9729" max="9729" width="82.85546875" style="110" customWidth="1"/>
    <col min="9730" max="9730" width="10.42578125" style="110" customWidth="1"/>
    <col min="9731" max="9731" width="14.28515625" style="110" customWidth="1"/>
    <col min="9732" max="9733" width="13.28515625" style="110" bestFit="1" customWidth="1"/>
    <col min="9734" max="9734" width="12.140625" style="110" bestFit="1" customWidth="1"/>
    <col min="9735" max="9735" width="10.7109375" style="110" bestFit="1" customWidth="1"/>
    <col min="9736" max="9738" width="11.42578125" style="110"/>
    <col min="9739" max="9739" width="12" style="110" bestFit="1" customWidth="1"/>
    <col min="9740" max="9740" width="15.5703125" style="110" customWidth="1"/>
    <col min="9741" max="9984" width="11.42578125" style="110"/>
    <col min="9985" max="9985" width="82.85546875" style="110" customWidth="1"/>
    <col min="9986" max="9986" width="10.42578125" style="110" customWidth="1"/>
    <col min="9987" max="9987" width="14.28515625" style="110" customWidth="1"/>
    <col min="9988" max="9989" width="13.28515625" style="110" bestFit="1" customWidth="1"/>
    <col min="9990" max="9990" width="12.140625" style="110" bestFit="1" customWidth="1"/>
    <col min="9991" max="9991" width="10.7109375" style="110" bestFit="1" customWidth="1"/>
    <col min="9992" max="9994" width="11.42578125" style="110"/>
    <col min="9995" max="9995" width="12" style="110" bestFit="1" customWidth="1"/>
    <col min="9996" max="9996" width="15.5703125" style="110" customWidth="1"/>
    <col min="9997" max="10240" width="11.42578125" style="110"/>
    <col min="10241" max="10241" width="82.85546875" style="110" customWidth="1"/>
    <col min="10242" max="10242" width="10.42578125" style="110" customWidth="1"/>
    <col min="10243" max="10243" width="14.28515625" style="110" customWidth="1"/>
    <col min="10244" max="10245" width="13.28515625" style="110" bestFit="1" customWidth="1"/>
    <col min="10246" max="10246" width="12.140625" style="110" bestFit="1" customWidth="1"/>
    <col min="10247" max="10247" width="10.7109375" style="110" bestFit="1" customWidth="1"/>
    <col min="10248" max="10250" width="11.42578125" style="110"/>
    <col min="10251" max="10251" width="12" style="110" bestFit="1" customWidth="1"/>
    <col min="10252" max="10252" width="15.5703125" style="110" customWidth="1"/>
    <col min="10253" max="10496" width="11.42578125" style="110"/>
    <col min="10497" max="10497" width="82.85546875" style="110" customWidth="1"/>
    <col min="10498" max="10498" width="10.42578125" style="110" customWidth="1"/>
    <col min="10499" max="10499" width="14.28515625" style="110" customWidth="1"/>
    <col min="10500" max="10501" width="13.28515625" style="110" bestFit="1" customWidth="1"/>
    <col min="10502" max="10502" width="12.140625" style="110" bestFit="1" customWidth="1"/>
    <col min="10503" max="10503" width="10.7109375" style="110" bestFit="1" customWidth="1"/>
    <col min="10504" max="10506" width="11.42578125" style="110"/>
    <col min="10507" max="10507" width="12" style="110" bestFit="1" customWidth="1"/>
    <col min="10508" max="10508" width="15.5703125" style="110" customWidth="1"/>
    <col min="10509" max="10752" width="11.42578125" style="110"/>
    <col min="10753" max="10753" width="82.85546875" style="110" customWidth="1"/>
    <col min="10754" max="10754" width="10.42578125" style="110" customWidth="1"/>
    <col min="10755" max="10755" width="14.28515625" style="110" customWidth="1"/>
    <col min="10756" max="10757" width="13.28515625" style="110" bestFit="1" customWidth="1"/>
    <col min="10758" max="10758" width="12.140625" style="110" bestFit="1" customWidth="1"/>
    <col min="10759" max="10759" width="10.7109375" style="110" bestFit="1" customWidth="1"/>
    <col min="10760" max="10762" width="11.42578125" style="110"/>
    <col min="10763" max="10763" width="12" style="110" bestFit="1" customWidth="1"/>
    <col min="10764" max="10764" width="15.5703125" style="110" customWidth="1"/>
    <col min="10765" max="11008" width="11.42578125" style="110"/>
    <col min="11009" max="11009" width="82.85546875" style="110" customWidth="1"/>
    <col min="11010" max="11010" width="10.42578125" style="110" customWidth="1"/>
    <col min="11011" max="11011" width="14.28515625" style="110" customWidth="1"/>
    <col min="11012" max="11013" width="13.28515625" style="110" bestFit="1" customWidth="1"/>
    <col min="11014" max="11014" width="12.140625" style="110" bestFit="1" customWidth="1"/>
    <col min="11015" max="11015" width="10.7109375" style="110" bestFit="1" customWidth="1"/>
    <col min="11016" max="11018" width="11.42578125" style="110"/>
    <col min="11019" max="11019" width="12" style="110" bestFit="1" customWidth="1"/>
    <col min="11020" max="11020" width="15.5703125" style="110" customWidth="1"/>
    <col min="11021" max="11264" width="11.42578125" style="110"/>
    <col min="11265" max="11265" width="82.85546875" style="110" customWidth="1"/>
    <col min="11266" max="11266" width="10.42578125" style="110" customWidth="1"/>
    <col min="11267" max="11267" width="14.28515625" style="110" customWidth="1"/>
    <col min="11268" max="11269" width="13.28515625" style="110" bestFit="1" customWidth="1"/>
    <col min="11270" max="11270" width="12.140625" style="110" bestFit="1" customWidth="1"/>
    <col min="11271" max="11271" width="10.7109375" style="110" bestFit="1" customWidth="1"/>
    <col min="11272" max="11274" width="11.42578125" style="110"/>
    <col min="11275" max="11275" width="12" style="110" bestFit="1" customWidth="1"/>
    <col min="11276" max="11276" width="15.5703125" style="110" customWidth="1"/>
    <col min="11277" max="11520" width="11.42578125" style="110"/>
    <col min="11521" max="11521" width="82.85546875" style="110" customWidth="1"/>
    <col min="11522" max="11522" width="10.42578125" style="110" customWidth="1"/>
    <col min="11523" max="11523" width="14.28515625" style="110" customWidth="1"/>
    <col min="11524" max="11525" width="13.28515625" style="110" bestFit="1" customWidth="1"/>
    <col min="11526" max="11526" width="12.140625" style="110" bestFit="1" customWidth="1"/>
    <col min="11527" max="11527" width="10.7109375" style="110" bestFit="1" customWidth="1"/>
    <col min="11528" max="11530" width="11.42578125" style="110"/>
    <col min="11531" max="11531" width="12" style="110" bestFit="1" customWidth="1"/>
    <col min="11532" max="11532" width="15.5703125" style="110" customWidth="1"/>
    <col min="11533" max="11776" width="11.42578125" style="110"/>
    <col min="11777" max="11777" width="82.85546875" style="110" customWidth="1"/>
    <col min="11778" max="11778" width="10.42578125" style="110" customWidth="1"/>
    <col min="11779" max="11779" width="14.28515625" style="110" customWidth="1"/>
    <col min="11780" max="11781" width="13.28515625" style="110" bestFit="1" customWidth="1"/>
    <col min="11782" max="11782" width="12.140625" style="110" bestFit="1" customWidth="1"/>
    <col min="11783" max="11783" width="10.7109375" style="110" bestFit="1" customWidth="1"/>
    <col min="11784" max="11786" width="11.42578125" style="110"/>
    <col min="11787" max="11787" width="12" style="110" bestFit="1" customWidth="1"/>
    <col min="11788" max="11788" width="15.5703125" style="110" customWidth="1"/>
    <col min="11789" max="12032" width="11.42578125" style="110"/>
    <col min="12033" max="12033" width="82.85546875" style="110" customWidth="1"/>
    <col min="12034" max="12034" width="10.42578125" style="110" customWidth="1"/>
    <col min="12035" max="12035" width="14.28515625" style="110" customWidth="1"/>
    <col min="12036" max="12037" width="13.28515625" style="110" bestFit="1" customWidth="1"/>
    <col min="12038" max="12038" width="12.140625" style="110" bestFit="1" customWidth="1"/>
    <col min="12039" max="12039" width="10.7109375" style="110" bestFit="1" customWidth="1"/>
    <col min="12040" max="12042" width="11.42578125" style="110"/>
    <col min="12043" max="12043" width="12" style="110" bestFit="1" customWidth="1"/>
    <col min="12044" max="12044" width="15.5703125" style="110" customWidth="1"/>
    <col min="12045" max="12288" width="11.42578125" style="110"/>
    <col min="12289" max="12289" width="82.85546875" style="110" customWidth="1"/>
    <col min="12290" max="12290" width="10.42578125" style="110" customWidth="1"/>
    <col min="12291" max="12291" width="14.28515625" style="110" customWidth="1"/>
    <col min="12292" max="12293" width="13.28515625" style="110" bestFit="1" customWidth="1"/>
    <col min="12294" max="12294" width="12.140625" style="110" bestFit="1" customWidth="1"/>
    <col min="12295" max="12295" width="10.7109375" style="110" bestFit="1" customWidth="1"/>
    <col min="12296" max="12298" width="11.42578125" style="110"/>
    <col min="12299" max="12299" width="12" style="110" bestFit="1" customWidth="1"/>
    <col min="12300" max="12300" width="15.5703125" style="110" customWidth="1"/>
    <col min="12301" max="12544" width="11.42578125" style="110"/>
    <col min="12545" max="12545" width="82.85546875" style="110" customWidth="1"/>
    <col min="12546" max="12546" width="10.42578125" style="110" customWidth="1"/>
    <col min="12547" max="12547" width="14.28515625" style="110" customWidth="1"/>
    <col min="12548" max="12549" width="13.28515625" style="110" bestFit="1" customWidth="1"/>
    <col min="12550" max="12550" width="12.140625" style="110" bestFit="1" customWidth="1"/>
    <col min="12551" max="12551" width="10.7109375" style="110" bestFit="1" customWidth="1"/>
    <col min="12552" max="12554" width="11.42578125" style="110"/>
    <col min="12555" max="12555" width="12" style="110" bestFit="1" customWidth="1"/>
    <col min="12556" max="12556" width="15.5703125" style="110" customWidth="1"/>
    <col min="12557" max="12800" width="11.42578125" style="110"/>
    <col min="12801" max="12801" width="82.85546875" style="110" customWidth="1"/>
    <col min="12802" max="12802" width="10.42578125" style="110" customWidth="1"/>
    <col min="12803" max="12803" width="14.28515625" style="110" customWidth="1"/>
    <col min="12804" max="12805" width="13.28515625" style="110" bestFit="1" customWidth="1"/>
    <col min="12806" max="12806" width="12.140625" style="110" bestFit="1" customWidth="1"/>
    <col min="12807" max="12807" width="10.7109375" style="110" bestFit="1" customWidth="1"/>
    <col min="12808" max="12810" width="11.42578125" style="110"/>
    <col min="12811" max="12811" width="12" style="110" bestFit="1" customWidth="1"/>
    <col min="12812" max="12812" width="15.5703125" style="110" customWidth="1"/>
    <col min="12813" max="13056" width="11.42578125" style="110"/>
    <col min="13057" max="13057" width="82.85546875" style="110" customWidth="1"/>
    <col min="13058" max="13058" width="10.42578125" style="110" customWidth="1"/>
    <col min="13059" max="13059" width="14.28515625" style="110" customWidth="1"/>
    <col min="13060" max="13061" width="13.28515625" style="110" bestFit="1" customWidth="1"/>
    <col min="13062" max="13062" width="12.140625" style="110" bestFit="1" customWidth="1"/>
    <col min="13063" max="13063" width="10.7109375" style="110" bestFit="1" customWidth="1"/>
    <col min="13064" max="13066" width="11.42578125" style="110"/>
    <col min="13067" max="13067" width="12" style="110" bestFit="1" customWidth="1"/>
    <col min="13068" max="13068" width="15.5703125" style="110" customWidth="1"/>
    <col min="13069" max="13312" width="11.42578125" style="110"/>
    <col min="13313" max="13313" width="82.85546875" style="110" customWidth="1"/>
    <col min="13314" max="13314" width="10.42578125" style="110" customWidth="1"/>
    <col min="13315" max="13315" width="14.28515625" style="110" customWidth="1"/>
    <col min="13316" max="13317" width="13.28515625" style="110" bestFit="1" customWidth="1"/>
    <col min="13318" max="13318" width="12.140625" style="110" bestFit="1" customWidth="1"/>
    <col min="13319" max="13319" width="10.7109375" style="110" bestFit="1" customWidth="1"/>
    <col min="13320" max="13322" width="11.42578125" style="110"/>
    <col min="13323" max="13323" width="12" style="110" bestFit="1" customWidth="1"/>
    <col min="13324" max="13324" width="15.5703125" style="110" customWidth="1"/>
    <col min="13325" max="13568" width="11.42578125" style="110"/>
    <col min="13569" max="13569" width="82.85546875" style="110" customWidth="1"/>
    <col min="13570" max="13570" width="10.42578125" style="110" customWidth="1"/>
    <col min="13571" max="13571" width="14.28515625" style="110" customWidth="1"/>
    <col min="13572" max="13573" width="13.28515625" style="110" bestFit="1" customWidth="1"/>
    <col min="13574" max="13574" width="12.140625" style="110" bestFit="1" customWidth="1"/>
    <col min="13575" max="13575" width="10.7109375" style="110" bestFit="1" customWidth="1"/>
    <col min="13576" max="13578" width="11.42578125" style="110"/>
    <col min="13579" max="13579" width="12" style="110" bestFit="1" customWidth="1"/>
    <col min="13580" max="13580" width="15.5703125" style="110" customWidth="1"/>
    <col min="13581" max="13824" width="11.42578125" style="110"/>
    <col min="13825" max="13825" width="82.85546875" style="110" customWidth="1"/>
    <col min="13826" max="13826" width="10.42578125" style="110" customWidth="1"/>
    <col min="13827" max="13827" width="14.28515625" style="110" customWidth="1"/>
    <col min="13828" max="13829" width="13.28515625" style="110" bestFit="1" customWidth="1"/>
    <col min="13830" max="13830" width="12.140625" style="110" bestFit="1" customWidth="1"/>
    <col min="13831" max="13831" width="10.7109375" style="110" bestFit="1" customWidth="1"/>
    <col min="13832" max="13834" width="11.42578125" style="110"/>
    <col min="13835" max="13835" width="12" style="110" bestFit="1" customWidth="1"/>
    <col min="13836" max="13836" width="15.5703125" style="110" customWidth="1"/>
    <col min="13837" max="14080" width="11.42578125" style="110"/>
    <col min="14081" max="14081" width="82.85546875" style="110" customWidth="1"/>
    <col min="14082" max="14082" width="10.42578125" style="110" customWidth="1"/>
    <col min="14083" max="14083" width="14.28515625" style="110" customWidth="1"/>
    <col min="14084" max="14085" width="13.28515625" style="110" bestFit="1" customWidth="1"/>
    <col min="14086" max="14086" width="12.140625" style="110" bestFit="1" customWidth="1"/>
    <col min="14087" max="14087" width="10.7109375" style="110" bestFit="1" customWidth="1"/>
    <col min="14088" max="14090" width="11.42578125" style="110"/>
    <col min="14091" max="14091" width="12" style="110" bestFit="1" customWidth="1"/>
    <col min="14092" max="14092" width="15.5703125" style="110" customWidth="1"/>
    <col min="14093" max="14336" width="11.42578125" style="110"/>
    <col min="14337" max="14337" width="82.85546875" style="110" customWidth="1"/>
    <col min="14338" max="14338" width="10.42578125" style="110" customWidth="1"/>
    <col min="14339" max="14339" width="14.28515625" style="110" customWidth="1"/>
    <col min="14340" max="14341" width="13.28515625" style="110" bestFit="1" customWidth="1"/>
    <col min="14342" max="14342" width="12.140625" style="110" bestFit="1" customWidth="1"/>
    <col min="14343" max="14343" width="10.7109375" style="110" bestFit="1" customWidth="1"/>
    <col min="14344" max="14346" width="11.42578125" style="110"/>
    <col min="14347" max="14347" width="12" style="110" bestFit="1" customWidth="1"/>
    <col min="14348" max="14348" width="15.5703125" style="110" customWidth="1"/>
    <col min="14349" max="14592" width="11.42578125" style="110"/>
    <col min="14593" max="14593" width="82.85546875" style="110" customWidth="1"/>
    <col min="14594" max="14594" width="10.42578125" style="110" customWidth="1"/>
    <col min="14595" max="14595" width="14.28515625" style="110" customWidth="1"/>
    <col min="14596" max="14597" width="13.28515625" style="110" bestFit="1" customWidth="1"/>
    <col min="14598" max="14598" width="12.140625" style="110" bestFit="1" customWidth="1"/>
    <col min="14599" max="14599" width="10.7109375" style="110" bestFit="1" customWidth="1"/>
    <col min="14600" max="14602" width="11.42578125" style="110"/>
    <col min="14603" max="14603" width="12" style="110" bestFit="1" customWidth="1"/>
    <col min="14604" max="14604" width="15.5703125" style="110" customWidth="1"/>
    <col min="14605" max="14848" width="11.42578125" style="110"/>
    <col min="14849" max="14849" width="82.85546875" style="110" customWidth="1"/>
    <col min="14850" max="14850" width="10.42578125" style="110" customWidth="1"/>
    <col min="14851" max="14851" width="14.28515625" style="110" customWidth="1"/>
    <col min="14852" max="14853" width="13.28515625" style="110" bestFit="1" customWidth="1"/>
    <col min="14854" max="14854" width="12.140625" style="110" bestFit="1" customWidth="1"/>
    <col min="14855" max="14855" width="10.7109375" style="110" bestFit="1" customWidth="1"/>
    <col min="14856" max="14858" width="11.42578125" style="110"/>
    <col min="14859" max="14859" width="12" style="110" bestFit="1" customWidth="1"/>
    <col min="14860" max="14860" width="15.5703125" style="110" customWidth="1"/>
    <col min="14861" max="15104" width="11.42578125" style="110"/>
    <col min="15105" max="15105" width="82.85546875" style="110" customWidth="1"/>
    <col min="15106" max="15106" width="10.42578125" style="110" customWidth="1"/>
    <col min="15107" max="15107" width="14.28515625" style="110" customWidth="1"/>
    <col min="15108" max="15109" width="13.28515625" style="110" bestFit="1" customWidth="1"/>
    <col min="15110" max="15110" width="12.140625" style="110" bestFit="1" customWidth="1"/>
    <col min="15111" max="15111" width="10.7109375" style="110" bestFit="1" customWidth="1"/>
    <col min="15112" max="15114" width="11.42578125" style="110"/>
    <col min="15115" max="15115" width="12" style="110" bestFit="1" customWidth="1"/>
    <col min="15116" max="15116" width="15.5703125" style="110" customWidth="1"/>
    <col min="15117" max="15360" width="11.42578125" style="110"/>
    <col min="15361" max="15361" width="82.85546875" style="110" customWidth="1"/>
    <col min="15362" max="15362" width="10.42578125" style="110" customWidth="1"/>
    <col min="15363" max="15363" width="14.28515625" style="110" customWidth="1"/>
    <col min="15364" max="15365" width="13.28515625" style="110" bestFit="1" customWidth="1"/>
    <col min="15366" max="15366" width="12.140625" style="110" bestFit="1" customWidth="1"/>
    <col min="15367" max="15367" width="10.7109375" style="110" bestFit="1" customWidth="1"/>
    <col min="15368" max="15370" width="11.42578125" style="110"/>
    <col min="15371" max="15371" width="12" style="110" bestFit="1" customWidth="1"/>
    <col min="15372" max="15372" width="15.5703125" style="110" customWidth="1"/>
    <col min="15373" max="15616" width="11.42578125" style="110"/>
    <col min="15617" max="15617" width="82.85546875" style="110" customWidth="1"/>
    <col min="15618" max="15618" width="10.42578125" style="110" customWidth="1"/>
    <col min="15619" max="15619" width="14.28515625" style="110" customWidth="1"/>
    <col min="15620" max="15621" width="13.28515625" style="110" bestFit="1" customWidth="1"/>
    <col min="15622" max="15622" width="12.140625" style="110" bestFit="1" customWidth="1"/>
    <col min="15623" max="15623" width="10.7109375" style="110" bestFit="1" customWidth="1"/>
    <col min="15624" max="15626" width="11.42578125" style="110"/>
    <col min="15627" max="15627" width="12" style="110" bestFit="1" customWidth="1"/>
    <col min="15628" max="15628" width="15.5703125" style="110" customWidth="1"/>
    <col min="15629" max="15872" width="11.42578125" style="110"/>
    <col min="15873" max="15873" width="82.85546875" style="110" customWidth="1"/>
    <col min="15874" max="15874" width="10.42578125" style="110" customWidth="1"/>
    <col min="15875" max="15875" width="14.28515625" style="110" customWidth="1"/>
    <col min="15876" max="15877" width="13.28515625" style="110" bestFit="1" customWidth="1"/>
    <col min="15878" max="15878" width="12.140625" style="110" bestFit="1" customWidth="1"/>
    <col min="15879" max="15879" width="10.7109375" style="110" bestFit="1" customWidth="1"/>
    <col min="15880" max="15882" width="11.42578125" style="110"/>
    <col min="15883" max="15883" width="12" style="110" bestFit="1" customWidth="1"/>
    <col min="15884" max="15884" width="15.5703125" style="110" customWidth="1"/>
    <col min="15885" max="16128" width="11.42578125" style="110"/>
    <col min="16129" max="16129" width="82.85546875" style="110" customWidth="1"/>
    <col min="16130" max="16130" width="10.42578125" style="110" customWidth="1"/>
    <col min="16131" max="16131" width="14.28515625" style="110" customWidth="1"/>
    <col min="16132" max="16133" width="13.28515625" style="110" bestFit="1" customWidth="1"/>
    <col min="16134" max="16134" width="12.140625" style="110" bestFit="1" customWidth="1"/>
    <col min="16135" max="16135" width="10.7109375" style="110" bestFit="1" customWidth="1"/>
    <col min="16136" max="16138" width="11.42578125" style="110"/>
    <col min="16139" max="16139" width="12" style="110" bestFit="1" customWidth="1"/>
    <col min="16140" max="16140" width="15.5703125" style="110" customWidth="1"/>
    <col min="16141" max="16384" width="11.42578125" style="110"/>
  </cols>
  <sheetData>
    <row r="1" spans="1:12" ht="15.75" x14ac:dyDescent="0.25">
      <c r="A1" s="258" t="s">
        <v>149</v>
      </c>
      <c r="B1" s="259"/>
      <c r="C1" s="259"/>
      <c r="D1" s="115"/>
      <c r="H1" s="113" t="s">
        <v>155</v>
      </c>
    </row>
    <row r="2" spans="1:12" ht="15.75" x14ac:dyDescent="0.25">
      <c r="A2" s="260" t="s">
        <v>150</v>
      </c>
      <c r="B2" s="260"/>
      <c r="C2" s="260"/>
      <c r="D2" s="115"/>
      <c r="H2" s="113" t="s">
        <v>189</v>
      </c>
    </row>
    <row r="3" spans="1:12" x14ac:dyDescent="0.25">
      <c r="A3" s="115"/>
      <c r="B3" s="115"/>
      <c r="C3" s="115"/>
      <c r="D3" s="115"/>
      <c r="H3" s="110">
        <v>0</v>
      </c>
    </row>
    <row r="4" spans="1:12" x14ac:dyDescent="0.25">
      <c r="A4" s="256" t="s">
        <v>151</v>
      </c>
      <c r="B4" s="256"/>
      <c r="C4" s="116" t="s">
        <v>152</v>
      </c>
      <c r="D4" s="115"/>
      <c r="H4" s="110">
        <v>1</v>
      </c>
    </row>
    <row r="5" spans="1:12" hidden="1" x14ac:dyDescent="0.25">
      <c r="A5" s="117" t="s">
        <v>153</v>
      </c>
      <c r="B5" s="118"/>
      <c r="C5" s="119">
        <v>5550</v>
      </c>
      <c r="D5" s="115"/>
      <c r="H5" s="110">
        <v>2</v>
      </c>
    </row>
    <row r="6" spans="1:12" hidden="1" x14ac:dyDescent="0.25">
      <c r="A6" s="120" t="s">
        <v>188</v>
      </c>
      <c r="B6" s="164">
        <v>55</v>
      </c>
      <c r="C6" s="119">
        <f>IF(AND(B6&gt;64.9999,B6&lt;75),1150,IF(B6&gt;74.9999,1150+1400,0))</f>
        <v>0</v>
      </c>
      <c r="D6" s="115"/>
      <c r="E6" s="113"/>
      <c r="F6" s="113"/>
      <c r="G6" s="113"/>
      <c r="H6" s="110">
        <v>3</v>
      </c>
      <c r="I6" s="113"/>
      <c r="J6" s="113"/>
      <c r="K6" s="113"/>
      <c r="L6" s="121"/>
    </row>
    <row r="7" spans="1:12" x14ac:dyDescent="0.25">
      <c r="A7" s="120" t="s">
        <v>154</v>
      </c>
      <c r="B7" s="122" t="s">
        <v>155</v>
      </c>
      <c r="C7" s="115"/>
      <c r="D7" s="115"/>
      <c r="E7" s="113"/>
      <c r="F7" s="113"/>
      <c r="G7" s="113"/>
      <c r="H7" s="110">
        <v>4</v>
      </c>
      <c r="I7" s="113"/>
      <c r="J7" s="113"/>
      <c r="K7" s="113"/>
      <c r="L7" s="121"/>
    </row>
    <row r="8" spans="1:12" x14ac:dyDescent="0.25">
      <c r="A8" s="120" t="s">
        <v>156</v>
      </c>
      <c r="B8" s="122" t="s">
        <v>155</v>
      </c>
      <c r="C8" s="115"/>
      <c r="D8" s="115"/>
      <c r="E8" s="113"/>
      <c r="F8" s="113"/>
      <c r="G8" s="113"/>
      <c r="H8" s="110">
        <v>5</v>
      </c>
      <c r="I8" s="113"/>
      <c r="J8" s="113"/>
      <c r="K8" s="113"/>
      <c r="L8" s="121"/>
    </row>
    <row r="9" spans="1:12" x14ac:dyDescent="0.25">
      <c r="A9" s="115"/>
      <c r="B9" s="115"/>
      <c r="C9" s="115"/>
      <c r="D9" s="115"/>
      <c r="E9" s="113"/>
      <c r="F9" s="113"/>
      <c r="G9" s="113"/>
      <c r="H9" s="110">
        <v>6</v>
      </c>
      <c r="I9" s="113"/>
      <c r="J9" s="113"/>
      <c r="K9" s="113"/>
      <c r="L9" s="121"/>
    </row>
    <row r="10" spans="1:12" x14ac:dyDescent="0.25">
      <c r="A10" s="256" t="s">
        <v>157</v>
      </c>
      <c r="B10" s="256"/>
      <c r="C10" s="115"/>
      <c r="D10" s="115"/>
      <c r="E10" s="113"/>
      <c r="F10" s="113"/>
      <c r="G10" s="113"/>
      <c r="H10" s="110">
        <v>7</v>
      </c>
      <c r="I10" s="113"/>
      <c r="J10" s="113"/>
      <c r="K10" s="113"/>
      <c r="L10" s="121"/>
    </row>
    <row r="11" spans="1:12" x14ac:dyDescent="0.25">
      <c r="A11" s="120" t="s">
        <v>158</v>
      </c>
      <c r="B11" s="122" t="s">
        <v>155</v>
      </c>
      <c r="C11" s="115"/>
      <c r="D11" s="115"/>
      <c r="E11" s="113"/>
      <c r="F11" s="113"/>
      <c r="G11" s="113"/>
      <c r="H11" s="110">
        <v>8</v>
      </c>
      <c r="I11" s="113"/>
      <c r="J11" s="113"/>
    </row>
    <row r="12" spans="1:12" x14ac:dyDescent="0.25">
      <c r="A12" s="120" t="s">
        <v>159</v>
      </c>
      <c r="B12" s="123">
        <v>0</v>
      </c>
      <c r="F12" s="113"/>
      <c r="G12" s="113"/>
      <c r="I12" s="113"/>
      <c r="J12" s="113"/>
    </row>
    <row r="13" spans="1:12" x14ac:dyDescent="0.25">
      <c r="A13" s="120" t="s">
        <v>160</v>
      </c>
      <c r="B13" s="123">
        <v>0</v>
      </c>
      <c r="C13" s="167"/>
      <c r="D13" s="115"/>
      <c r="E13" s="113"/>
      <c r="F13" s="113"/>
      <c r="G13" s="113"/>
      <c r="I13" s="113"/>
      <c r="J13" s="113"/>
    </row>
    <row r="14" spans="1:12" x14ac:dyDescent="0.25">
      <c r="A14" s="124" t="s">
        <v>161</v>
      </c>
      <c r="B14" s="123">
        <v>0</v>
      </c>
      <c r="C14" s="119">
        <f>(B14*3000)</f>
        <v>0</v>
      </c>
      <c r="D14" s="115"/>
      <c r="E14" s="113"/>
      <c r="F14" s="113"/>
      <c r="G14" s="113"/>
      <c r="I14" s="113"/>
      <c r="J14" s="113"/>
    </row>
    <row r="15" spans="1:12" x14ac:dyDescent="0.25">
      <c r="A15" s="124" t="s">
        <v>162</v>
      </c>
      <c r="B15" s="123">
        <v>0</v>
      </c>
      <c r="C15" s="119">
        <f>+(B15*9000)</f>
        <v>0</v>
      </c>
      <c r="D15" s="115"/>
      <c r="E15" s="113"/>
      <c r="F15" s="113"/>
      <c r="G15" s="113"/>
      <c r="I15" s="113"/>
      <c r="J15" s="113"/>
    </row>
    <row r="16" spans="1:12" x14ac:dyDescent="0.25">
      <c r="A16" s="125"/>
      <c r="B16" s="125"/>
      <c r="C16" s="125"/>
      <c r="D16" s="115"/>
      <c r="E16" s="113"/>
      <c r="F16" s="113"/>
      <c r="G16" s="113"/>
      <c r="I16" s="113"/>
      <c r="J16" s="113"/>
    </row>
    <row r="17" spans="1:10" x14ac:dyDescent="0.25">
      <c r="A17" s="256" t="s">
        <v>163</v>
      </c>
      <c r="B17" s="256"/>
      <c r="C17" s="125"/>
      <c r="D17" s="115"/>
      <c r="E17" s="113"/>
      <c r="F17" s="113"/>
      <c r="G17" s="113"/>
      <c r="I17" s="113"/>
      <c r="J17" s="113"/>
    </row>
    <row r="18" spans="1:10" x14ac:dyDescent="0.25">
      <c r="A18" s="126" t="s">
        <v>164</v>
      </c>
      <c r="B18" s="123">
        <v>1</v>
      </c>
      <c r="C18" s="125"/>
      <c r="D18" s="115"/>
      <c r="E18" s="113"/>
      <c r="F18" s="113"/>
      <c r="G18" s="113"/>
      <c r="I18" s="113"/>
      <c r="J18" s="113"/>
    </row>
    <row r="19" spans="1:10" x14ac:dyDescent="0.25">
      <c r="A19" s="120" t="s">
        <v>165</v>
      </c>
      <c r="B19" s="123">
        <v>0</v>
      </c>
      <c r="C19" s="257">
        <f>((+B19*1150)+(B20*(1150+1400)))/B18</f>
        <v>0</v>
      </c>
      <c r="D19" s="115"/>
      <c r="E19" s="113"/>
      <c r="F19" s="113"/>
      <c r="G19" s="113"/>
      <c r="I19" s="113"/>
      <c r="J19" s="113"/>
    </row>
    <row r="20" spans="1:10" x14ac:dyDescent="0.25">
      <c r="A20" s="120" t="s">
        <v>166</v>
      </c>
      <c r="B20" s="123">
        <v>0</v>
      </c>
      <c r="C20" s="257"/>
      <c r="D20" s="115"/>
      <c r="E20" s="113"/>
      <c r="F20" s="113"/>
      <c r="G20" s="113"/>
      <c r="I20" s="113"/>
      <c r="J20" s="113"/>
    </row>
    <row r="21" spans="1:10" x14ac:dyDescent="0.25">
      <c r="A21" s="124" t="s">
        <v>167</v>
      </c>
      <c r="B21" s="123">
        <v>0</v>
      </c>
      <c r="C21" s="119">
        <f>(B21*3000)/B18</f>
        <v>0</v>
      </c>
      <c r="D21" s="115"/>
      <c r="E21" s="113"/>
      <c r="F21" s="113"/>
      <c r="G21" s="113"/>
      <c r="I21" s="113"/>
      <c r="J21" s="113"/>
    </row>
    <row r="22" spans="1:10" x14ac:dyDescent="0.25">
      <c r="A22" s="124" t="s">
        <v>168</v>
      </c>
      <c r="B22" s="123">
        <v>0</v>
      </c>
      <c r="C22" s="119">
        <f>+(B22*9000)/B18</f>
        <v>0</v>
      </c>
      <c r="D22" s="115"/>
      <c r="E22" s="113"/>
      <c r="F22" s="113"/>
      <c r="G22" s="113"/>
      <c r="I22" s="113"/>
      <c r="J22" s="113"/>
    </row>
    <row r="23" spans="1:10" x14ac:dyDescent="0.25">
      <c r="A23" s="115"/>
      <c r="B23" s="115"/>
      <c r="C23" s="115"/>
      <c r="D23" s="115"/>
      <c r="E23" s="113"/>
      <c r="F23" s="113"/>
      <c r="G23" s="113"/>
      <c r="I23" s="113"/>
      <c r="J23" s="113"/>
    </row>
    <row r="24" spans="1:10" hidden="1" x14ac:dyDescent="0.25">
      <c r="A24" s="256" t="s">
        <v>169</v>
      </c>
      <c r="B24" s="256"/>
      <c r="C24" s="115"/>
      <c r="D24" s="115"/>
      <c r="E24" s="113"/>
      <c r="F24" s="113"/>
      <c r="G24" s="113"/>
      <c r="H24" s="110">
        <v>8</v>
      </c>
      <c r="I24" s="113"/>
      <c r="J24" s="113"/>
    </row>
    <row r="25" spans="1:10" hidden="1" x14ac:dyDescent="0.25">
      <c r="A25" s="127" t="s">
        <v>170</v>
      </c>
      <c r="B25" s="128">
        <f>IF(Nómina!C7="Interino",Nómina!D56,+Nómina!D50)</f>
        <v>34340.64315264536</v>
      </c>
      <c r="C25" s="115"/>
      <c r="D25" s="115"/>
      <c r="E25" s="113"/>
      <c r="F25" s="113"/>
      <c r="G25" s="113"/>
      <c r="I25" s="113"/>
      <c r="J25" s="113"/>
    </row>
    <row r="26" spans="1:10" hidden="1" x14ac:dyDescent="0.25">
      <c r="A26" s="115"/>
      <c r="B26" s="115"/>
      <c r="C26" s="115"/>
      <c r="D26" s="115"/>
    </row>
    <row r="27" spans="1:10" hidden="1" x14ac:dyDescent="0.25">
      <c r="A27" s="256" t="s">
        <v>171</v>
      </c>
      <c r="B27" s="256"/>
      <c r="C27" s="115"/>
      <c r="D27" s="115"/>
    </row>
    <row r="28" spans="1:10" hidden="1" x14ac:dyDescent="0.25">
      <c r="A28" s="117" t="s">
        <v>172</v>
      </c>
      <c r="B28" s="129">
        <v>2000</v>
      </c>
      <c r="C28" s="115"/>
      <c r="D28" s="115"/>
    </row>
    <row r="29" spans="1:10" hidden="1" x14ac:dyDescent="0.25">
      <c r="A29" s="117" t="s">
        <v>180</v>
      </c>
      <c r="B29" s="129">
        <f>IF(Nómina!C7="Interino",-Nómina!D57,-Nómina!D51)</f>
        <v>2175.4494703299665</v>
      </c>
      <c r="C29" s="115"/>
      <c r="D29" s="115"/>
    </row>
    <row r="30" spans="1:10" hidden="1" x14ac:dyDescent="0.25">
      <c r="A30" s="120" t="s">
        <v>154</v>
      </c>
      <c r="B30" s="119">
        <f>IF(B7="no",0,3000)</f>
        <v>0</v>
      </c>
      <c r="C30" s="115"/>
      <c r="D30" s="115"/>
    </row>
    <row r="31" spans="1:10" hidden="1" x14ac:dyDescent="0.25">
      <c r="A31" s="120" t="s">
        <v>156</v>
      </c>
      <c r="B31" s="119">
        <f>IF(B8="no",0,9000)</f>
        <v>0</v>
      </c>
      <c r="C31" s="115"/>
      <c r="D31" s="115"/>
    </row>
    <row r="32" spans="1:10" hidden="1" x14ac:dyDescent="0.25">
      <c r="A32" s="124" t="s">
        <v>173</v>
      </c>
      <c r="B32" s="129">
        <f>IF(B12&gt;2,600,0)</f>
        <v>0</v>
      </c>
      <c r="C32" s="115"/>
      <c r="D32" s="115"/>
    </row>
    <row r="33" spans="1:4" hidden="1" x14ac:dyDescent="0.25">
      <c r="A33" s="117"/>
      <c r="B33" s="129"/>
      <c r="C33" s="115"/>
      <c r="D33" s="115"/>
    </row>
    <row r="34" spans="1:4" hidden="1" x14ac:dyDescent="0.25">
      <c r="A34" s="130" t="s">
        <v>174</v>
      </c>
      <c r="B34" s="129">
        <f>+B25-B29-B28-B30-B31-B32-B33</f>
        <v>30165.193682315392</v>
      </c>
      <c r="C34" s="128">
        <f>SUM(C5:C33)</f>
        <v>5550</v>
      </c>
      <c r="D34" s="115"/>
    </row>
    <row r="35" spans="1:4" hidden="1" x14ac:dyDescent="0.25">
      <c r="A35" s="130" t="s">
        <v>175</v>
      </c>
      <c r="B35" s="12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7215.0581046946172</v>
      </c>
      <c r="C35" s="128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15"/>
    </row>
    <row r="36" spans="1:4" hidden="1" x14ac:dyDescent="0.25">
      <c r="A36" s="130" t="s">
        <v>176</v>
      </c>
      <c r="B36" s="129">
        <f>+B35-C35</f>
        <v>6160.5581046946172</v>
      </c>
      <c r="C36" s="115"/>
      <c r="D36" s="115"/>
    </row>
    <row r="37" spans="1:4" x14ac:dyDescent="0.25">
      <c r="A37" s="130" t="s">
        <v>177</v>
      </c>
      <c r="B37" s="131">
        <f>(+B36/B25)</f>
        <v>0.17939553657486032</v>
      </c>
      <c r="C37" s="115"/>
      <c r="D37" s="115"/>
    </row>
    <row r="38" spans="1:4" x14ac:dyDescent="0.25">
      <c r="A38" s="115"/>
      <c r="B38" s="115"/>
      <c r="C38" s="115"/>
      <c r="D38" s="115"/>
    </row>
    <row r="39" spans="1:4" hidden="1" x14ac:dyDescent="0.25">
      <c r="A39" s="256" t="str">
        <f>IF(Nómina!C7="Interino","INTERINO. Fechas de inicio y finalización del nombramiento"," ")</f>
        <v>INTERINO. Fechas de inicio y finalización del nombramiento</v>
      </c>
      <c r="B39" s="256"/>
    </row>
    <row r="40" spans="1:4" hidden="1" x14ac:dyDescent="0.25">
      <c r="A40" s="147" t="str">
        <f>IF(Nómina!C7="Interino","Fecha inicio del interino. Curso 2015/16"," ")</f>
        <v>Fecha inicio del interino. Curso 2015/16</v>
      </c>
      <c r="B40" s="165">
        <v>42614</v>
      </c>
      <c r="D40" s="147" t="str">
        <f>IF(Nómina!C7="Interino","Para interinos. Fecha inicio"," ")</f>
        <v>Para interinos. Fecha inicio</v>
      </c>
    </row>
    <row r="41" spans="1:4" hidden="1" x14ac:dyDescent="0.25">
      <c r="A41" s="148" t="str">
        <f>IF(Nómina!C7="Interino","Fecha finalización. Curso 2015/16"," ")</f>
        <v>Fecha finalización. Curso 2015/16</v>
      </c>
      <c r="B41" s="165">
        <v>42978</v>
      </c>
      <c r="D41" s="148" t="str">
        <f>IF(Nómina!C7="Interino","Para interinos. Fecha finalización"," ")</f>
        <v>Para interinos. Fecha finalización</v>
      </c>
    </row>
    <row r="42" spans="1:4" hidden="1" x14ac:dyDescent="0.25">
      <c r="A42" s="148" t="str">
        <f>IF(Nómina!C7="Interino","Días 2016 del curso 2015/16 para cálculo % IRPF que aplican"," ")</f>
        <v>Días 2016 del curso 2015/16 para cálculo % IRPF que aplican</v>
      </c>
      <c r="B42" s="149">
        <f>IF(Nómina!C7="Interino",+B41-(IF(B40&lt;42370,42370,B40))+(IF(B41=42613,0,ROUND(+((B41-B40)*30)/365,0)))," ")</f>
        <v>394</v>
      </c>
    </row>
    <row r="43" spans="1:4" hidden="1" x14ac:dyDescent="0.25">
      <c r="A43" s="126" t="str">
        <f>IF(Nómina!C7="Interino","Días a añadir del curso 2016/17, para estimar % IRPF a solicitar a aplicar"," ")</f>
        <v>Días a añadir del curso 2016/17, para estimar % IRPF a solicitar a aplicar</v>
      </c>
      <c r="B43" s="166"/>
      <c r="D43" s="151" t="str">
        <f>IF(Nómina!C7="Interino","Anadir días para calcular % a solicitar"," ")</f>
        <v>Anadir días para calcular % a solicitar</v>
      </c>
    </row>
  </sheetData>
  <sheetProtection password="DF4C" sheet="1" objects="1" scenarios="1" selectLockedCells="1"/>
  <mergeCells count="9">
    <mergeCell ref="A39:B39"/>
    <mergeCell ref="C19:C20"/>
    <mergeCell ref="A24:B24"/>
    <mergeCell ref="A27:B27"/>
    <mergeCell ref="A1:C1"/>
    <mergeCell ref="A2:C2"/>
    <mergeCell ref="A4:B4"/>
    <mergeCell ref="A10:B10"/>
    <mergeCell ref="A17:B17"/>
  </mergeCells>
  <dataValidations count="4">
    <dataValidation type="list" allowBlank="1" showInputMessage="1" showErrorMessage="1" sqref="B12:B15 B19:B21" xr:uid="{00000000-0002-0000-0100-000000000000}">
      <formula1>$H$3:$H$11</formula1>
    </dataValidation>
    <dataValidation type="list" allowBlank="1" showInputMessage="1" showErrorMessage="1" sqref="B7:B8 B11" xr:uid="{00000000-0002-0000-0100-000001000000}">
      <formula1>$H$1:$H$2</formula1>
    </dataValidation>
    <dataValidation type="list" allowBlank="1" showInputMessage="1" showErrorMessage="1" sqref="B22" xr:uid="{00000000-0002-0000-0100-000002000000}">
      <formula1>$H$3:$H$24</formula1>
    </dataValidation>
    <dataValidation type="list" allowBlank="1" showInputMessage="1" showErrorMessage="1" sqref="B18" xr:uid="{00000000-0002-0000-0100-000003000000}">
      <formula1>$H$4:$H$10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2:AE22"/>
  <sheetViews>
    <sheetView topLeftCell="F1" workbookViewId="0">
      <selection activeCell="AB1" sqref="AB1:AE1048576"/>
    </sheetView>
  </sheetViews>
  <sheetFormatPr baseColWidth="10" defaultRowHeight="15" x14ac:dyDescent="0.25"/>
  <cols>
    <col min="1" max="1" width="3.140625" style="110" customWidth="1"/>
    <col min="2" max="2" width="6" style="110" bestFit="1" customWidth="1"/>
    <col min="3" max="3" width="4.85546875" style="110" bestFit="1" customWidth="1"/>
    <col min="4" max="4" width="40.7109375" style="110" customWidth="1"/>
    <col min="5" max="5" width="8.7109375" style="110" bestFit="1" customWidth="1"/>
    <col min="6" max="8" width="7.42578125" style="110" customWidth="1"/>
    <col min="9" max="9" width="10.5703125" style="110" bestFit="1" customWidth="1"/>
    <col min="10" max="10" width="8.85546875" style="110" customWidth="1"/>
    <col min="11" max="11" width="10.5703125" style="110" bestFit="1" customWidth="1"/>
    <col min="12" max="12" width="10.85546875" style="110" customWidth="1"/>
    <col min="13" max="13" width="7.140625" style="110" customWidth="1"/>
    <col min="14" max="14" width="7.85546875" style="110" customWidth="1"/>
    <col min="15" max="15" width="8.140625" style="110" customWidth="1"/>
    <col min="16" max="16" width="9.28515625" style="110" customWidth="1"/>
    <col min="17" max="17" width="8.5703125" style="110" customWidth="1"/>
    <col min="18" max="18" width="8.7109375" style="110" customWidth="1"/>
    <col min="19" max="19" width="8.140625" style="110" customWidth="1"/>
    <col min="20" max="20" width="8.7109375" style="110" customWidth="1"/>
    <col min="21" max="21" width="8.140625" style="110" bestFit="1" customWidth="1"/>
    <col min="22" max="22" width="8.7109375" style="110" customWidth="1"/>
    <col min="23" max="24" width="8.42578125" style="110" bestFit="1" customWidth="1"/>
    <col min="25" max="25" width="10.7109375" style="110" customWidth="1"/>
    <col min="26" max="26" width="7.5703125" style="110" bestFit="1" customWidth="1"/>
    <col min="27" max="27" width="10.140625" style="110" customWidth="1"/>
    <col min="28" max="31" width="11.42578125" style="110" hidden="1" customWidth="1"/>
    <col min="32" max="52" width="11.42578125" style="110" customWidth="1"/>
    <col min="53" max="256" width="11.42578125" style="110"/>
    <col min="257" max="257" width="3.140625" style="110" customWidth="1"/>
    <col min="258" max="258" width="6" style="110" bestFit="1" customWidth="1"/>
    <col min="259" max="259" width="4.85546875" style="110" bestFit="1" customWidth="1"/>
    <col min="260" max="260" width="40.7109375" style="110" customWidth="1"/>
    <col min="261" max="261" width="8.7109375" style="110" bestFit="1" customWidth="1"/>
    <col min="262" max="264" width="7.42578125" style="110" customWidth="1"/>
    <col min="265" max="266" width="12.42578125" style="110" customWidth="1"/>
    <col min="267" max="268" width="13.5703125" style="110" customWidth="1"/>
    <col min="269" max="269" width="17.28515625" style="110" customWidth="1"/>
    <col min="270" max="270" width="8.85546875" style="110" customWidth="1"/>
    <col min="271" max="271" width="7.42578125" style="110" customWidth="1"/>
    <col min="272" max="308" width="11.42578125" style="110" customWidth="1"/>
    <col min="309" max="512" width="11.42578125" style="110"/>
    <col min="513" max="513" width="3.140625" style="110" customWidth="1"/>
    <col min="514" max="514" width="6" style="110" bestFit="1" customWidth="1"/>
    <col min="515" max="515" width="4.85546875" style="110" bestFit="1" customWidth="1"/>
    <col min="516" max="516" width="40.7109375" style="110" customWidth="1"/>
    <col min="517" max="517" width="8.7109375" style="110" bestFit="1" customWidth="1"/>
    <col min="518" max="520" width="7.42578125" style="110" customWidth="1"/>
    <col min="521" max="522" width="12.42578125" style="110" customWidth="1"/>
    <col min="523" max="524" width="13.5703125" style="110" customWidth="1"/>
    <col min="525" max="525" width="17.28515625" style="110" customWidth="1"/>
    <col min="526" max="526" width="8.85546875" style="110" customWidth="1"/>
    <col min="527" max="527" width="7.42578125" style="110" customWidth="1"/>
    <col min="528" max="564" width="11.42578125" style="110" customWidth="1"/>
    <col min="565" max="768" width="11.42578125" style="110"/>
    <col min="769" max="769" width="3.140625" style="110" customWidth="1"/>
    <col min="770" max="770" width="6" style="110" bestFit="1" customWidth="1"/>
    <col min="771" max="771" width="4.85546875" style="110" bestFit="1" customWidth="1"/>
    <col min="772" max="772" width="40.7109375" style="110" customWidth="1"/>
    <col min="773" max="773" width="8.7109375" style="110" bestFit="1" customWidth="1"/>
    <col min="774" max="776" width="7.42578125" style="110" customWidth="1"/>
    <col min="777" max="778" width="12.42578125" style="110" customWidth="1"/>
    <col min="779" max="780" width="13.5703125" style="110" customWidth="1"/>
    <col min="781" max="781" width="17.28515625" style="110" customWidth="1"/>
    <col min="782" max="782" width="8.85546875" style="110" customWidth="1"/>
    <col min="783" max="783" width="7.42578125" style="110" customWidth="1"/>
    <col min="784" max="820" width="11.42578125" style="110" customWidth="1"/>
    <col min="821" max="1024" width="11.42578125" style="110"/>
    <col min="1025" max="1025" width="3.140625" style="110" customWidth="1"/>
    <col min="1026" max="1026" width="6" style="110" bestFit="1" customWidth="1"/>
    <col min="1027" max="1027" width="4.85546875" style="110" bestFit="1" customWidth="1"/>
    <col min="1028" max="1028" width="40.7109375" style="110" customWidth="1"/>
    <col min="1029" max="1029" width="8.7109375" style="110" bestFit="1" customWidth="1"/>
    <col min="1030" max="1032" width="7.42578125" style="110" customWidth="1"/>
    <col min="1033" max="1034" width="12.42578125" style="110" customWidth="1"/>
    <col min="1035" max="1036" width="13.5703125" style="110" customWidth="1"/>
    <col min="1037" max="1037" width="17.28515625" style="110" customWidth="1"/>
    <col min="1038" max="1038" width="8.85546875" style="110" customWidth="1"/>
    <col min="1039" max="1039" width="7.42578125" style="110" customWidth="1"/>
    <col min="1040" max="1076" width="11.42578125" style="110" customWidth="1"/>
    <col min="1077" max="1280" width="11.42578125" style="110"/>
    <col min="1281" max="1281" width="3.140625" style="110" customWidth="1"/>
    <col min="1282" max="1282" width="6" style="110" bestFit="1" customWidth="1"/>
    <col min="1283" max="1283" width="4.85546875" style="110" bestFit="1" customWidth="1"/>
    <col min="1284" max="1284" width="40.7109375" style="110" customWidth="1"/>
    <col min="1285" max="1285" width="8.7109375" style="110" bestFit="1" customWidth="1"/>
    <col min="1286" max="1288" width="7.42578125" style="110" customWidth="1"/>
    <col min="1289" max="1290" width="12.42578125" style="110" customWidth="1"/>
    <col min="1291" max="1292" width="13.5703125" style="110" customWidth="1"/>
    <col min="1293" max="1293" width="17.28515625" style="110" customWidth="1"/>
    <col min="1294" max="1294" width="8.85546875" style="110" customWidth="1"/>
    <col min="1295" max="1295" width="7.42578125" style="110" customWidth="1"/>
    <col min="1296" max="1332" width="11.42578125" style="110" customWidth="1"/>
    <col min="1333" max="1536" width="11.42578125" style="110"/>
    <col min="1537" max="1537" width="3.140625" style="110" customWidth="1"/>
    <col min="1538" max="1538" width="6" style="110" bestFit="1" customWidth="1"/>
    <col min="1539" max="1539" width="4.85546875" style="110" bestFit="1" customWidth="1"/>
    <col min="1540" max="1540" width="40.7109375" style="110" customWidth="1"/>
    <col min="1541" max="1541" width="8.7109375" style="110" bestFit="1" customWidth="1"/>
    <col min="1542" max="1544" width="7.42578125" style="110" customWidth="1"/>
    <col min="1545" max="1546" width="12.42578125" style="110" customWidth="1"/>
    <col min="1547" max="1548" width="13.5703125" style="110" customWidth="1"/>
    <col min="1549" max="1549" width="17.28515625" style="110" customWidth="1"/>
    <col min="1550" max="1550" width="8.85546875" style="110" customWidth="1"/>
    <col min="1551" max="1551" width="7.42578125" style="110" customWidth="1"/>
    <col min="1552" max="1588" width="11.42578125" style="110" customWidth="1"/>
    <col min="1589" max="1792" width="11.42578125" style="110"/>
    <col min="1793" max="1793" width="3.140625" style="110" customWidth="1"/>
    <col min="1794" max="1794" width="6" style="110" bestFit="1" customWidth="1"/>
    <col min="1795" max="1795" width="4.85546875" style="110" bestFit="1" customWidth="1"/>
    <col min="1796" max="1796" width="40.7109375" style="110" customWidth="1"/>
    <col min="1797" max="1797" width="8.7109375" style="110" bestFit="1" customWidth="1"/>
    <col min="1798" max="1800" width="7.42578125" style="110" customWidth="1"/>
    <col min="1801" max="1802" width="12.42578125" style="110" customWidth="1"/>
    <col min="1803" max="1804" width="13.5703125" style="110" customWidth="1"/>
    <col min="1805" max="1805" width="17.28515625" style="110" customWidth="1"/>
    <col min="1806" max="1806" width="8.85546875" style="110" customWidth="1"/>
    <col min="1807" max="1807" width="7.42578125" style="110" customWidth="1"/>
    <col min="1808" max="1844" width="11.42578125" style="110" customWidth="1"/>
    <col min="1845" max="2048" width="11.42578125" style="110"/>
    <col min="2049" max="2049" width="3.140625" style="110" customWidth="1"/>
    <col min="2050" max="2050" width="6" style="110" bestFit="1" customWidth="1"/>
    <col min="2051" max="2051" width="4.85546875" style="110" bestFit="1" customWidth="1"/>
    <col min="2052" max="2052" width="40.7109375" style="110" customWidth="1"/>
    <col min="2053" max="2053" width="8.7109375" style="110" bestFit="1" customWidth="1"/>
    <col min="2054" max="2056" width="7.42578125" style="110" customWidth="1"/>
    <col min="2057" max="2058" width="12.42578125" style="110" customWidth="1"/>
    <col min="2059" max="2060" width="13.5703125" style="110" customWidth="1"/>
    <col min="2061" max="2061" width="17.28515625" style="110" customWidth="1"/>
    <col min="2062" max="2062" width="8.85546875" style="110" customWidth="1"/>
    <col min="2063" max="2063" width="7.42578125" style="110" customWidth="1"/>
    <col min="2064" max="2100" width="11.42578125" style="110" customWidth="1"/>
    <col min="2101" max="2304" width="11.42578125" style="110"/>
    <col min="2305" max="2305" width="3.140625" style="110" customWidth="1"/>
    <col min="2306" max="2306" width="6" style="110" bestFit="1" customWidth="1"/>
    <col min="2307" max="2307" width="4.85546875" style="110" bestFit="1" customWidth="1"/>
    <col min="2308" max="2308" width="40.7109375" style="110" customWidth="1"/>
    <col min="2309" max="2309" width="8.7109375" style="110" bestFit="1" customWidth="1"/>
    <col min="2310" max="2312" width="7.42578125" style="110" customWidth="1"/>
    <col min="2313" max="2314" width="12.42578125" style="110" customWidth="1"/>
    <col min="2315" max="2316" width="13.5703125" style="110" customWidth="1"/>
    <col min="2317" max="2317" width="17.28515625" style="110" customWidth="1"/>
    <col min="2318" max="2318" width="8.85546875" style="110" customWidth="1"/>
    <col min="2319" max="2319" width="7.42578125" style="110" customWidth="1"/>
    <col min="2320" max="2356" width="11.42578125" style="110" customWidth="1"/>
    <col min="2357" max="2560" width="11.42578125" style="110"/>
    <col min="2561" max="2561" width="3.140625" style="110" customWidth="1"/>
    <col min="2562" max="2562" width="6" style="110" bestFit="1" customWidth="1"/>
    <col min="2563" max="2563" width="4.85546875" style="110" bestFit="1" customWidth="1"/>
    <col min="2564" max="2564" width="40.7109375" style="110" customWidth="1"/>
    <col min="2565" max="2565" width="8.7109375" style="110" bestFit="1" customWidth="1"/>
    <col min="2566" max="2568" width="7.42578125" style="110" customWidth="1"/>
    <col min="2569" max="2570" width="12.42578125" style="110" customWidth="1"/>
    <col min="2571" max="2572" width="13.5703125" style="110" customWidth="1"/>
    <col min="2573" max="2573" width="17.28515625" style="110" customWidth="1"/>
    <col min="2574" max="2574" width="8.85546875" style="110" customWidth="1"/>
    <col min="2575" max="2575" width="7.42578125" style="110" customWidth="1"/>
    <col min="2576" max="2612" width="11.42578125" style="110" customWidth="1"/>
    <col min="2613" max="2816" width="11.42578125" style="110"/>
    <col min="2817" max="2817" width="3.140625" style="110" customWidth="1"/>
    <col min="2818" max="2818" width="6" style="110" bestFit="1" customWidth="1"/>
    <col min="2819" max="2819" width="4.85546875" style="110" bestFit="1" customWidth="1"/>
    <col min="2820" max="2820" width="40.7109375" style="110" customWidth="1"/>
    <col min="2821" max="2821" width="8.7109375" style="110" bestFit="1" customWidth="1"/>
    <col min="2822" max="2824" width="7.42578125" style="110" customWidth="1"/>
    <col min="2825" max="2826" width="12.42578125" style="110" customWidth="1"/>
    <col min="2827" max="2828" width="13.5703125" style="110" customWidth="1"/>
    <col min="2829" max="2829" width="17.28515625" style="110" customWidth="1"/>
    <col min="2830" max="2830" width="8.85546875" style="110" customWidth="1"/>
    <col min="2831" max="2831" width="7.42578125" style="110" customWidth="1"/>
    <col min="2832" max="2868" width="11.42578125" style="110" customWidth="1"/>
    <col min="2869" max="3072" width="11.42578125" style="110"/>
    <col min="3073" max="3073" width="3.140625" style="110" customWidth="1"/>
    <col min="3074" max="3074" width="6" style="110" bestFit="1" customWidth="1"/>
    <col min="3075" max="3075" width="4.85546875" style="110" bestFit="1" customWidth="1"/>
    <col min="3076" max="3076" width="40.7109375" style="110" customWidth="1"/>
    <col min="3077" max="3077" width="8.7109375" style="110" bestFit="1" customWidth="1"/>
    <col min="3078" max="3080" width="7.42578125" style="110" customWidth="1"/>
    <col min="3081" max="3082" width="12.42578125" style="110" customWidth="1"/>
    <col min="3083" max="3084" width="13.5703125" style="110" customWidth="1"/>
    <col min="3085" max="3085" width="17.28515625" style="110" customWidth="1"/>
    <col min="3086" max="3086" width="8.85546875" style="110" customWidth="1"/>
    <col min="3087" max="3087" width="7.42578125" style="110" customWidth="1"/>
    <col min="3088" max="3124" width="11.42578125" style="110" customWidth="1"/>
    <col min="3125" max="3328" width="11.42578125" style="110"/>
    <col min="3329" max="3329" width="3.140625" style="110" customWidth="1"/>
    <col min="3330" max="3330" width="6" style="110" bestFit="1" customWidth="1"/>
    <col min="3331" max="3331" width="4.85546875" style="110" bestFit="1" customWidth="1"/>
    <col min="3332" max="3332" width="40.7109375" style="110" customWidth="1"/>
    <col min="3333" max="3333" width="8.7109375" style="110" bestFit="1" customWidth="1"/>
    <col min="3334" max="3336" width="7.42578125" style="110" customWidth="1"/>
    <col min="3337" max="3338" width="12.42578125" style="110" customWidth="1"/>
    <col min="3339" max="3340" width="13.5703125" style="110" customWidth="1"/>
    <col min="3341" max="3341" width="17.28515625" style="110" customWidth="1"/>
    <col min="3342" max="3342" width="8.85546875" style="110" customWidth="1"/>
    <col min="3343" max="3343" width="7.42578125" style="110" customWidth="1"/>
    <col min="3344" max="3380" width="11.42578125" style="110" customWidth="1"/>
    <col min="3381" max="3584" width="11.42578125" style="110"/>
    <col min="3585" max="3585" width="3.140625" style="110" customWidth="1"/>
    <col min="3586" max="3586" width="6" style="110" bestFit="1" customWidth="1"/>
    <col min="3587" max="3587" width="4.85546875" style="110" bestFit="1" customWidth="1"/>
    <col min="3588" max="3588" width="40.7109375" style="110" customWidth="1"/>
    <col min="3589" max="3589" width="8.7109375" style="110" bestFit="1" customWidth="1"/>
    <col min="3590" max="3592" width="7.42578125" style="110" customWidth="1"/>
    <col min="3593" max="3594" width="12.42578125" style="110" customWidth="1"/>
    <col min="3595" max="3596" width="13.5703125" style="110" customWidth="1"/>
    <col min="3597" max="3597" width="17.28515625" style="110" customWidth="1"/>
    <col min="3598" max="3598" width="8.85546875" style="110" customWidth="1"/>
    <col min="3599" max="3599" width="7.42578125" style="110" customWidth="1"/>
    <col min="3600" max="3636" width="11.42578125" style="110" customWidth="1"/>
    <col min="3637" max="3840" width="11.42578125" style="110"/>
    <col min="3841" max="3841" width="3.140625" style="110" customWidth="1"/>
    <col min="3842" max="3842" width="6" style="110" bestFit="1" customWidth="1"/>
    <col min="3843" max="3843" width="4.85546875" style="110" bestFit="1" customWidth="1"/>
    <col min="3844" max="3844" width="40.7109375" style="110" customWidth="1"/>
    <col min="3845" max="3845" width="8.7109375" style="110" bestFit="1" customWidth="1"/>
    <col min="3846" max="3848" width="7.42578125" style="110" customWidth="1"/>
    <col min="3849" max="3850" width="12.42578125" style="110" customWidth="1"/>
    <col min="3851" max="3852" width="13.5703125" style="110" customWidth="1"/>
    <col min="3853" max="3853" width="17.28515625" style="110" customWidth="1"/>
    <col min="3854" max="3854" width="8.85546875" style="110" customWidth="1"/>
    <col min="3855" max="3855" width="7.42578125" style="110" customWidth="1"/>
    <col min="3856" max="3892" width="11.42578125" style="110" customWidth="1"/>
    <col min="3893" max="4096" width="11.42578125" style="110"/>
    <col min="4097" max="4097" width="3.140625" style="110" customWidth="1"/>
    <col min="4098" max="4098" width="6" style="110" bestFit="1" customWidth="1"/>
    <col min="4099" max="4099" width="4.85546875" style="110" bestFit="1" customWidth="1"/>
    <col min="4100" max="4100" width="40.7109375" style="110" customWidth="1"/>
    <col min="4101" max="4101" width="8.7109375" style="110" bestFit="1" customWidth="1"/>
    <col min="4102" max="4104" width="7.42578125" style="110" customWidth="1"/>
    <col min="4105" max="4106" width="12.42578125" style="110" customWidth="1"/>
    <col min="4107" max="4108" width="13.5703125" style="110" customWidth="1"/>
    <col min="4109" max="4109" width="17.28515625" style="110" customWidth="1"/>
    <col min="4110" max="4110" width="8.85546875" style="110" customWidth="1"/>
    <col min="4111" max="4111" width="7.42578125" style="110" customWidth="1"/>
    <col min="4112" max="4148" width="11.42578125" style="110" customWidth="1"/>
    <col min="4149" max="4352" width="11.42578125" style="110"/>
    <col min="4353" max="4353" width="3.140625" style="110" customWidth="1"/>
    <col min="4354" max="4354" width="6" style="110" bestFit="1" customWidth="1"/>
    <col min="4355" max="4355" width="4.85546875" style="110" bestFit="1" customWidth="1"/>
    <col min="4356" max="4356" width="40.7109375" style="110" customWidth="1"/>
    <col min="4357" max="4357" width="8.7109375" style="110" bestFit="1" customWidth="1"/>
    <col min="4358" max="4360" width="7.42578125" style="110" customWidth="1"/>
    <col min="4361" max="4362" width="12.42578125" style="110" customWidth="1"/>
    <col min="4363" max="4364" width="13.5703125" style="110" customWidth="1"/>
    <col min="4365" max="4365" width="17.28515625" style="110" customWidth="1"/>
    <col min="4366" max="4366" width="8.85546875" style="110" customWidth="1"/>
    <col min="4367" max="4367" width="7.42578125" style="110" customWidth="1"/>
    <col min="4368" max="4404" width="11.42578125" style="110" customWidth="1"/>
    <col min="4405" max="4608" width="11.42578125" style="110"/>
    <col min="4609" max="4609" width="3.140625" style="110" customWidth="1"/>
    <col min="4610" max="4610" width="6" style="110" bestFit="1" customWidth="1"/>
    <col min="4611" max="4611" width="4.85546875" style="110" bestFit="1" customWidth="1"/>
    <col min="4612" max="4612" width="40.7109375" style="110" customWidth="1"/>
    <col min="4613" max="4613" width="8.7109375" style="110" bestFit="1" customWidth="1"/>
    <col min="4614" max="4616" width="7.42578125" style="110" customWidth="1"/>
    <col min="4617" max="4618" width="12.42578125" style="110" customWidth="1"/>
    <col min="4619" max="4620" width="13.5703125" style="110" customWidth="1"/>
    <col min="4621" max="4621" width="17.28515625" style="110" customWidth="1"/>
    <col min="4622" max="4622" width="8.85546875" style="110" customWidth="1"/>
    <col min="4623" max="4623" width="7.42578125" style="110" customWidth="1"/>
    <col min="4624" max="4660" width="11.42578125" style="110" customWidth="1"/>
    <col min="4661" max="4864" width="11.42578125" style="110"/>
    <col min="4865" max="4865" width="3.140625" style="110" customWidth="1"/>
    <col min="4866" max="4866" width="6" style="110" bestFit="1" customWidth="1"/>
    <col min="4867" max="4867" width="4.85546875" style="110" bestFit="1" customWidth="1"/>
    <col min="4868" max="4868" width="40.7109375" style="110" customWidth="1"/>
    <col min="4869" max="4869" width="8.7109375" style="110" bestFit="1" customWidth="1"/>
    <col min="4870" max="4872" width="7.42578125" style="110" customWidth="1"/>
    <col min="4873" max="4874" width="12.42578125" style="110" customWidth="1"/>
    <col min="4875" max="4876" width="13.5703125" style="110" customWidth="1"/>
    <col min="4877" max="4877" width="17.28515625" style="110" customWidth="1"/>
    <col min="4878" max="4878" width="8.85546875" style="110" customWidth="1"/>
    <col min="4879" max="4879" width="7.42578125" style="110" customWidth="1"/>
    <col min="4880" max="4916" width="11.42578125" style="110" customWidth="1"/>
    <col min="4917" max="5120" width="11.42578125" style="110"/>
    <col min="5121" max="5121" width="3.140625" style="110" customWidth="1"/>
    <col min="5122" max="5122" width="6" style="110" bestFit="1" customWidth="1"/>
    <col min="5123" max="5123" width="4.85546875" style="110" bestFit="1" customWidth="1"/>
    <col min="5124" max="5124" width="40.7109375" style="110" customWidth="1"/>
    <col min="5125" max="5125" width="8.7109375" style="110" bestFit="1" customWidth="1"/>
    <col min="5126" max="5128" width="7.42578125" style="110" customWidth="1"/>
    <col min="5129" max="5130" width="12.42578125" style="110" customWidth="1"/>
    <col min="5131" max="5132" width="13.5703125" style="110" customWidth="1"/>
    <col min="5133" max="5133" width="17.28515625" style="110" customWidth="1"/>
    <col min="5134" max="5134" width="8.85546875" style="110" customWidth="1"/>
    <col min="5135" max="5135" width="7.42578125" style="110" customWidth="1"/>
    <col min="5136" max="5172" width="11.42578125" style="110" customWidth="1"/>
    <col min="5173" max="5376" width="11.42578125" style="110"/>
    <col min="5377" max="5377" width="3.140625" style="110" customWidth="1"/>
    <col min="5378" max="5378" width="6" style="110" bestFit="1" customWidth="1"/>
    <col min="5379" max="5379" width="4.85546875" style="110" bestFit="1" customWidth="1"/>
    <col min="5380" max="5380" width="40.7109375" style="110" customWidth="1"/>
    <col min="5381" max="5381" width="8.7109375" style="110" bestFit="1" customWidth="1"/>
    <col min="5382" max="5384" width="7.42578125" style="110" customWidth="1"/>
    <col min="5385" max="5386" width="12.42578125" style="110" customWidth="1"/>
    <col min="5387" max="5388" width="13.5703125" style="110" customWidth="1"/>
    <col min="5389" max="5389" width="17.28515625" style="110" customWidth="1"/>
    <col min="5390" max="5390" width="8.85546875" style="110" customWidth="1"/>
    <col min="5391" max="5391" width="7.42578125" style="110" customWidth="1"/>
    <col min="5392" max="5428" width="11.42578125" style="110" customWidth="1"/>
    <col min="5429" max="5632" width="11.42578125" style="110"/>
    <col min="5633" max="5633" width="3.140625" style="110" customWidth="1"/>
    <col min="5634" max="5634" width="6" style="110" bestFit="1" customWidth="1"/>
    <col min="5635" max="5635" width="4.85546875" style="110" bestFit="1" customWidth="1"/>
    <col min="5636" max="5636" width="40.7109375" style="110" customWidth="1"/>
    <col min="5637" max="5637" width="8.7109375" style="110" bestFit="1" customWidth="1"/>
    <col min="5638" max="5640" width="7.42578125" style="110" customWidth="1"/>
    <col min="5641" max="5642" width="12.42578125" style="110" customWidth="1"/>
    <col min="5643" max="5644" width="13.5703125" style="110" customWidth="1"/>
    <col min="5645" max="5645" width="17.28515625" style="110" customWidth="1"/>
    <col min="5646" max="5646" width="8.85546875" style="110" customWidth="1"/>
    <col min="5647" max="5647" width="7.42578125" style="110" customWidth="1"/>
    <col min="5648" max="5684" width="11.42578125" style="110" customWidth="1"/>
    <col min="5685" max="5888" width="11.42578125" style="110"/>
    <col min="5889" max="5889" width="3.140625" style="110" customWidth="1"/>
    <col min="5890" max="5890" width="6" style="110" bestFit="1" customWidth="1"/>
    <col min="5891" max="5891" width="4.85546875" style="110" bestFit="1" customWidth="1"/>
    <col min="5892" max="5892" width="40.7109375" style="110" customWidth="1"/>
    <col min="5893" max="5893" width="8.7109375" style="110" bestFit="1" customWidth="1"/>
    <col min="5894" max="5896" width="7.42578125" style="110" customWidth="1"/>
    <col min="5897" max="5898" width="12.42578125" style="110" customWidth="1"/>
    <col min="5899" max="5900" width="13.5703125" style="110" customWidth="1"/>
    <col min="5901" max="5901" width="17.28515625" style="110" customWidth="1"/>
    <col min="5902" max="5902" width="8.85546875" style="110" customWidth="1"/>
    <col min="5903" max="5903" width="7.42578125" style="110" customWidth="1"/>
    <col min="5904" max="5940" width="11.42578125" style="110" customWidth="1"/>
    <col min="5941" max="6144" width="11.42578125" style="110"/>
    <col min="6145" max="6145" width="3.140625" style="110" customWidth="1"/>
    <col min="6146" max="6146" width="6" style="110" bestFit="1" customWidth="1"/>
    <col min="6147" max="6147" width="4.85546875" style="110" bestFit="1" customWidth="1"/>
    <col min="6148" max="6148" width="40.7109375" style="110" customWidth="1"/>
    <col min="6149" max="6149" width="8.7109375" style="110" bestFit="1" customWidth="1"/>
    <col min="6150" max="6152" width="7.42578125" style="110" customWidth="1"/>
    <col min="6153" max="6154" width="12.42578125" style="110" customWidth="1"/>
    <col min="6155" max="6156" width="13.5703125" style="110" customWidth="1"/>
    <col min="6157" max="6157" width="17.28515625" style="110" customWidth="1"/>
    <col min="6158" max="6158" width="8.85546875" style="110" customWidth="1"/>
    <col min="6159" max="6159" width="7.42578125" style="110" customWidth="1"/>
    <col min="6160" max="6196" width="11.42578125" style="110" customWidth="1"/>
    <col min="6197" max="6400" width="11.42578125" style="110"/>
    <col min="6401" max="6401" width="3.140625" style="110" customWidth="1"/>
    <col min="6402" max="6402" width="6" style="110" bestFit="1" customWidth="1"/>
    <col min="6403" max="6403" width="4.85546875" style="110" bestFit="1" customWidth="1"/>
    <col min="6404" max="6404" width="40.7109375" style="110" customWidth="1"/>
    <col min="6405" max="6405" width="8.7109375" style="110" bestFit="1" customWidth="1"/>
    <col min="6406" max="6408" width="7.42578125" style="110" customWidth="1"/>
    <col min="6409" max="6410" width="12.42578125" style="110" customWidth="1"/>
    <col min="6411" max="6412" width="13.5703125" style="110" customWidth="1"/>
    <col min="6413" max="6413" width="17.28515625" style="110" customWidth="1"/>
    <col min="6414" max="6414" width="8.85546875" style="110" customWidth="1"/>
    <col min="6415" max="6415" width="7.42578125" style="110" customWidth="1"/>
    <col min="6416" max="6452" width="11.42578125" style="110" customWidth="1"/>
    <col min="6453" max="6656" width="11.42578125" style="110"/>
    <col min="6657" max="6657" width="3.140625" style="110" customWidth="1"/>
    <col min="6658" max="6658" width="6" style="110" bestFit="1" customWidth="1"/>
    <col min="6659" max="6659" width="4.85546875" style="110" bestFit="1" customWidth="1"/>
    <col min="6660" max="6660" width="40.7109375" style="110" customWidth="1"/>
    <col min="6661" max="6661" width="8.7109375" style="110" bestFit="1" customWidth="1"/>
    <col min="6662" max="6664" width="7.42578125" style="110" customWidth="1"/>
    <col min="6665" max="6666" width="12.42578125" style="110" customWidth="1"/>
    <col min="6667" max="6668" width="13.5703125" style="110" customWidth="1"/>
    <col min="6669" max="6669" width="17.28515625" style="110" customWidth="1"/>
    <col min="6670" max="6670" width="8.85546875" style="110" customWidth="1"/>
    <col min="6671" max="6671" width="7.42578125" style="110" customWidth="1"/>
    <col min="6672" max="6708" width="11.42578125" style="110" customWidth="1"/>
    <col min="6709" max="6912" width="11.42578125" style="110"/>
    <col min="6913" max="6913" width="3.140625" style="110" customWidth="1"/>
    <col min="6914" max="6914" width="6" style="110" bestFit="1" customWidth="1"/>
    <col min="6915" max="6915" width="4.85546875" style="110" bestFit="1" customWidth="1"/>
    <col min="6916" max="6916" width="40.7109375" style="110" customWidth="1"/>
    <col min="6917" max="6917" width="8.7109375" style="110" bestFit="1" customWidth="1"/>
    <col min="6918" max="6920" width="7.42578125" style="110" customWidth="1"/>
    <col min="6921" max="6922" width="12.42578125" style="110" customWidth="1"/>
    <col min="6923" max="6924" width="13.5703125" style="110" customWidth="1"/>
    <col min="6925" max="6925" width="17.28515625" style="110" customWidth="1"/>
    <col min="6926" max="6926" width="8.85546875" style="110" customWidth="1"/>
    <col min="6927" max="6927" width="7.42578125" style="110" customWidth="1"/>
    <col min="6928" max="6964" width="11.42578125" style="110" customWidth="1"/>
    <col min="6965" max="7168" width="11.42578125" style="110"/>
    <col min="7169" max="7169" width="3.140625" style="110" customWidth="1"/>
    <col min="7170" max="7170" width="6" style="110" bestFit="1" customWidth="1"/>
    <col min="7171" max="7171" width="4.85546875" style="110" bestFit="1" customWidth="1"/>
    <col min="7172" max="7172" width="40.7109375" style="110" customWidth="1"/>
    <col min="7173" max="7173" width="8.7109375" style="110" bestFit="1" customWidth="1"/>
    <col min="7174" max="7176" width="7.42578125" style="110" customWidth="1"/>
    <col min="7177" max="7178" width="12.42578125" style="110" customWidth="1"/>
    <col min="7179" max="7180" width="13.5703125" style="110" customWidth="1"/>
    <col min="7181" max="7181" width="17.28515625" style="110" customWidth="1"/>
    <col min="7182" max="7182" width="8.85546875" style="110" customWidth="1"/>
    <col min="7183" max="7183" width="7.42578125" style="110" customWidth="1"/>
    <col min="7184" max="7220" width="11.42578125" style="110" customWidth="1"/>
    <col min="7221" max="7424" width="11.42578125" style="110"/>
    <col min="7425" max="7425" width="3.140625" style="110" customWidth="1"/>
    <col min="7426" max="7426" width="6" style="110" bestFit="1" customWidth="1"/>
    <col min="7427" max="7427" width="4.85546875" style="110" bestFit="1" customWidth="1"/>
    <col min="7428" max="7428" width="40.7109375" style="110" customWidth="1"/>
    <col min="7429" max="7429" width="8.7109375" style="110" bestFit="1" customWidth="1"/>
    <col min="7430" max="7432" width="7.42578125" style="110" customWidth="1"/>
    <col min="7433" max="7434" width="12.42578125" style="110" customWidth="1"/>
    <col min="7435" max="7436" width="13.5703125" style="110" customWidth="1"/>
    <col min="7437" max="7437" width="17.28515625" style="110" customWidth="1"/>
    <col min="7438" max="7438" width="8.85546875" style="110" customWidth="1"/>
    <col min="7439" max="7439" width="7.42578125" style="110" customWidth="1"/>
    <col min="7440" max="7476" width="11.42578125" style="110" customWidth="1"/>
    <col min="7477" max="7680" width="11.42578125" style="110"/>
    <col min="7681" max="7681" width="3.140625" style="110" customWidth="1"/>
    <col min="7682" max="7682" width="6" style="110" bestFit="1" customWidth="1"/>
    <col min="7683" max="7683" width="4.85546875" style="110" bestFit="1" customWidth="1"/>
    <col min="7684" max="7684" width="40.7109375" style="110" customWidth="1"/>
    <col min="7685" max="7685" width="8.7109375" style="110" bestFit="1" customWidth="1"/>
    <col min="7686" max="7688" width="7.42578125" style="110" customWidth="1"/>
    <col min="7689" max="7690" width="12.42578125" style="110" customWidth="1"/>
    <col min="7691" max="7692" width="13.5703125" style="110" customWidth="1"/>
    <col min="7693" max="7693" width="17.28515625" style="110" customWidth="1"/>
    <col min="7694" max="7694" width="8.85546875" style="110" customWidth="1"/>
    <col min="7695" max="7695" width="7.42578125" style="110" customWidth="1"/>
    <col min="7696" max="7732" width="11.42578125" style="110" customWidth="1"/>
    <col min="7733" max="7936" width="11.42578125" style="110"/>
    <col min="7937" max="7937" width="3.140625" style="110" customWidth="1"/>
    <col min="7938" max="7938" width="6" style="110" bestFit="1" customWidth="1"/>
    <col min="7939" max="7939" width="4.85546875" style="110" bestFit="1" customWidth="1"/>
    <col min="7940" max="7940" width="40.7109375" style="110" customWidth="1"/>
    <col min="7941" max="7941" width="8.7109375" style="110" bestFit="1" customWidth="1"/>
    <col min="7942" max="7944" width="7.42578125" style="110" customWidth="1"/>
    <col min="7945" max="7946" width="12.42578125" style="110" customWidth="1"/>
    <col min="7947" max="7948" width="13.5703125" style="110" customWidth="1"/>
    <col min="7949" max="7949" width="17.28515625" style="110" customWidth="1"/>
    <col min="7950" max="7950" width="8.85546875" style="110" customWidth="1"/>
    <col min="7951" max="7951" width="7.42578125" style="110" customWidth="1"/>
    <col min="7952" max="7988" width="11.42578125" style="110" customWidth="1"/>
    <col min="7989" max="8192" width="11.42578125" style="110"/>
    <col min="8193" max="8193" width="3.140625" style="110" customWidth="1"/>
    <col min="8194" max="8194" width="6" style="110" bestFit="1" customWidth="1"/>
    <col min="8195" max="8195" width="4.85546875" style="110" bestFit="1" customWidth="1"/>
    <col min="8196" max="8196" width="40.7109375" style="110" customWidth="1"/>
    <col min="8197" max="8197" width="8.7109375" style="110" bestFit="1" customWidth="1"/>
    <col min="8198" max="8200" width="7.42578125" style="110" customWidth="1"/>
    <col min="8201" max="8202" width="12.42578125" style="110" customWidth="1"/>
    <col min="8203" max="8204" width="13.5703125" style="110" customWidth="1"/>
    <col min="8205" max="8205" width="17.28515625" style="110" customWidth="1"/>
    <col min="8206" max="8206" width="8.85546875" style="110" customWidth="1"/>
    <col min="8207" max="8207" width="7.42578125" style="110" customWidth="1"/>
    <col min="8208" max="8244" width="11.42578125" style="110" customWidth="1"/>
    <col min="8245" max="8448" width="11.42578125" style="110"/>
    <col min="8449" max="8449" width="3.140625" style="110" customWidth="1"/>
    <col min="8450" max="8450" width="6" style="110" bestFit="1" customWidth="1"/>
    <col min="8451" max="8451" width="4.85546875" style="110" bestFit="1" customWidth="1"/>
    <col min="8452" max="8452" width="40.7109375" style="110" customWidth="1"/>
    <col min="8453" max="8453" width="8.7109375" style="110" bestFit="1" customWidth="1"/>
    <col min="8454" max="8456" width="7.42578125" style="110" customWidth="1"/>
    <col min="8457" max="8458" width="12.42578125" style="110" customWidth="1"/>
    <col min="8459" max="8460" width="13.5703125" style="110" customWidth="1"/>
    <col min="8461" max="8461" width="17.28515625" style="110" customWidth="1"/>
    <col min="8462" max="8462" width="8.85546875" style="110" customWidth="1"/>
    <col min="8463" max="8463" width="7.42578125" style="110" customWidth="1"/>
    <col min="8464" max="8500" width="11.42578125" style="110" customWidth="1"/>
    <col min="8501" max="8704" width="11.42578125" style="110"/>
    <col min="8705" max="8705" width="3.140625" style="110" customWidth="1"/>
    <col min="8706" max="8706" width="6" style="110" bestFit="1" customWidth="1"/>
    <col min="8707" max="8707" width="4.85546875" style="110" bestFit="1" customWidth="1"/>
    <col min="8708" max="8708" width="40.7109375" style="110" customWidth="1"/>
    <col min="8709" max="8709" width="8.7109375" style="110" bestFit="1" customWidth="1"/>
    <col min="8710" max="8712" width="7.42578125" style="110" customWidth="1"/>
    <col min="8713" max="8714" width="12.42578125" style="110" customWidth="1"/>
    <col min="8715" max="8716" width="13.5703125" style="110" customWidth="1"/>
    <col min="8717" max="8717" width="17.28515625" style="110" customWidth="1"/>
    <col min="8718" max="8718" width="8.85546875" style="110" customWidth="1"/>
    <col min="8719" max="8719" width="7.42578125" style="110" customWidth="1"/>
    <col min="8720" max="8756" width="11.42578125" style="110" customWidth="1"/>
    <col min="8757" max="8960" width="11.42578125" style="110"/>
    <col min="8961" max="8961" width="3.140625" style="110" customWidth="1"/>
    <col min="8962" max="8962" width="6" style="110" bestFit="1" customWidth="1"/>
    <col min="8963" max="8963" width="4.85546875" style="110" bestFit="1" customWidth="1"/>
    <col min="8964" max="8964" width="40.7109375" style="110" customWidth="1"/>
    <col min="8965" max="8965" width="8.7109375" style="110" bestFit="1" customWidth="1"/>
    <col min="8966" max="8968" width="7.42578125" style="110" customWidth="1"/>
    <col min="8969" max="8970" width="12.42578125" style="110" customWidth="1"/>
    <col min="8971" max="8972" width="13.5703125" style="110" customWidth="1"/>
    <col min="8973" max="8973" width="17.28515625" style="110" customWidth="1"/>
    <col min="8974" max="8974" width="8.85546875" style="110" customWidth="1"/>
    <col min="8975" max="8975" width="7.42578125" style="110" customWidth="1"/>
    <col min="8976" max="9012" width="11.42578125" style="110" customWidth="1"/>
    <col min="9013" max="9216" width="11.42578125" style="110"/>
    <col min="9217" max="9217" width="3.140625" style="110" customWidth="1"/>
    <col min="9218" max="9218" width="6" style="110" bestFit="1" customWidth="1"/>
    <col min="9219" max="9219" width="4.85546875" style="110" bestFit="1" customWidth="1"/>
    <col min="9220" max="9220" width="40.7109375" style="110" customWidth="1"/>
    <col min="9221" max="9221" width="8.7109375" style="110" bestFit="1" customWidth="1"/>
    <col min="9222" max="9224" width="7.42578125" style="110" customWidth="1"/>
    <col min="9225" max="9226" width="12.42578125" style="110" customWidth="1"/>
    <col min="9227" max="9228" width="13.5703125" style="110" customWidth="1"/>
    <col min="9229" max="9229" width="17.28515625" style="110" customWidth="1"/>
    <col min="9230" max="9230" width="8.85546875" style="110" customWidth="1"/>
    <col min="9231" max="9231" width="7.42578125" style="110" customWidth="1"/>
    <col min="9232" max="9268" width="11.42578125" style="110" customWidth="1"/>
    <col min="9269" max="9472" width="11.42578125" style="110"/>
    <col min="9473" max="9473" width="3.140625" style="110" customWidth="1"/>
    <col min="9474" max="9474" width="6" style="110" bestFit="1" customWidth="1"/>
    <col min="9475" max="9475" width="4.85546875" style="110" bestFit="1" customWidth="1"/>
    <col min="9476" max="9476" width="40.7109375" style="110" customWidth="1"/>
    <col min="9477" max="9477" width="8.7109375" style="110" bestFit="1" customWidth="1"/>
    <col min="9478" max="9480" width="7.42578125" style="110" customWidth="1"/>
    <col min="9481" max="9482" width="12.42578125" style="110" customWidth="1"/>
    <col min="9483" max="9484" width="13.5703125" style="110" customWidth="1"/>
    <col min="9485" max="9485" width="17.28515625" style="110" customWidth="1"/>
    <col min="9486" max="9486" width="8.85546875" style="110" customWidth="1"/>
    <col min="9487" max="9487" width="7.42578125" style="110" customWidth="1"/>
    <col min="9488" max="9524" width="11.42578125" style="110" customWidth="1"/>
    <col min="9525" max="9728" width="11.42578125" style="110"/>
    <col min="9729" max="9729" width="3.140625" style="110" customWidth="1"/>
    <col min="9730" max="9730" width="6" style="110" bestFit="1" customWidth="1"/>
    <col min="9731" max="9731" width="4.85546875" style="110" bestFit="1" customWidth="1"/>
    <col min="9732" max="9732" width="40.7109375" style="110" customWidth="1"/>
    <col min="9733" max="9733" width="8.7109375" style="110" bestFit="1" customWidth="1"/>
    <col min="9734" max="9736" width="7.42578125" style="110" customWidth="1"/>
    <col min="9737" max="9738" width="12.42578125" style="110" customWidth="1"/>
    <col min="9739" max="9740" width="13.5703125" style="110" customWidth="1"/>
    <col min="9741" max="9741" width="17.28515625" style="110" customWidth="1"/>
    <col min="9742" max="9742" width="8.85546875" style="110" customWidth="1"/>
    <col min="9743" max="9743" width="7.42578125" style="110" customWidth="1"/>
    <col min="9744" max="9780" width="11.42578125" style="110" customWidth="1"/>
    <col min="9781" max="9984" width="11.42578125" style="110"/>
    <col min="9985" max="9985" width="3.140625" style="110" customWidth="1"/>
    <col min="9986" max="9986" width="6" style="110" bestFit="1" customWidth="1"/>
    <col min="9987" max="9987" width="4.85546875" style="110" bestFit="1" customWidth="1"/>
    <col min="9988" max="9988" width="40.7109375" style="110" customWidth="1"/>
    <col min="9989" max="9989" width="8.7109375" style="110" bestFit="1" customWidth="1"/>
    <col min="9990" max="9992" width="7.42578125" style="110" customWidth="1"/>
    <col min="9993" max="9994" width="12.42578125" style="110" customWidth="1"/>
    <col min="9995" max="9996" width="13.5703125" style="110" customWidth="1"/>
    <col min="9997" max="9997" width="17.28515625" style="110" customWidth="1"/>
    <col min="9998" max="9998" width="8.85546875" style="110" customWidth="1"/>
    <col min="9999" max="9999" width="7.42578125" style="110" customWidth="1"/>
    <col min="10000" max="10036" width="11.42578125" style="110" customWidth="1"/>
    <col min="10037" max="10240" width="11.42578125" style="110"/>
    <col min="10241" max="10241" width="3.140625" style="110" customWidth="1"/>
    <col min="10242" max="10242" width="6" style="110" bestFit="1" customWidth="1"/>
    <col min="10243" max="10243" width="4.85546875" style="110" bestFit="1" customWidth="1"/>
    <col min="10244" max="10244" width="40.7109375" style="110" customWidth="1"/>
    <col min="10245" max="10245" width="8.7109375" style="110" bestFit="1" customWidth="1"/>
    <col min="10246" max="10248" width="7.42578125" style="110" customWidth="1"/>
    <col min="10249" max="10250" width="12.42578125" style="110" customWidth="1"/>
    <col min="10251" max="10252" width="13.5703125" style="110" customWidth="1"/>
    <col min="10253" max="10253" width="17.28515625" style="110" customWidth="1"/>
    <col min="10254" max="10254" width="8.85546875" style="110" customWidth="1"/>
    <col min="10255" max="10255" width="7.42578125" style="110" customWidth="1"/>
    <col min="10256" max="10292" width="11.42578125" style="110" customWidth="1"/>
    <col min="10293" max="10496" width="11.42578125" style="110"/>
    <col min="10497" max="10497" width="3.140625" style="110" customWidth="1"/>
    <col min="10498" max="10498" width="6" style="110" bestFit="1" customWidth="1"/>
    <col min="10499" max="10499" width="4.85546875" style="110" bestFit="1" customWidth="1"/>
    <col min="10500" max="10500" width="40.7109375" style="110" customWidth="1"/>
    <col min="10501" max="10501" width="8.7109375" style="110" bestFit="1" customWidth="1"/>
    <col min="10502" max="10504" width="7.42578125" style="110" customWidth="1"/>
    <col min="10505" max="10506" width="12.42578125" style="110" customWidth="1"/>
    <col min="10507" max="10508" width="13.5703125" style="110" customWidth="1"/>
    <col min="10509" max="10509" width="17.28515625" style="110" customWidth="1"/>
    <col min="10510" max="10510" width="8.85546875" style="110" customWidth="1"/>
    <col min="10511" max="10511" width="7.42578125" style="110" customWidth="1"/>
    <col min="10512" max="10548" width="11.42578125" style="110" customWidth="1"/>
    <col min="10549" max="10752" width="11.42578125" style="110"/>
    <col min="10753" max="10753" width="3.140625" style="110" customWidth="1"/>
    <col min="10754" max="10754" width="6" style="110" bestFit="1" customWidth="1"/>
    <col min="10755" max="10755" width="4.85546875" style="110" bestFit="1" customWidth="1"/>
    <col min="10756" max="10756" width="40.7109375" style="110" customWidth="1"/>
    <col min="10757" max="10757" width="8.7109375" style="110" bestFit="1" customWidth="1"/>
    <col min="10758" max="10760" width="7.42578125" style="110" customWidth="1"/>
    <col min="10761" max="10762" width="12.42578125" style="110" customWidth="1"/>
    <col min="10763" max="10764" width="13.5703125" style="110" customWidth="1"/>
    <col min="10765" max="10765" width="17.28515625" style="110" customWidth="1"/>
    <col min="10766" max="10766" width="8.85546875" style="110" customWidth="1"/>
    <col min="10767" max="10767" width="7.42578125" style="110" customWidth="1"/>
    <col min="10768" max="10804" width="11.42578125" style="110" customWidth="1"/>
    <col min="10805" max="11008" width="11.42578125" style="110"/>
    <col min="11009" max="11009" width="3.140625" style="110" customWidth="1"/>
    <col min="11010" max="11010" width="6" style="110" bestFit="1" customWidth="1"/>
    <col min="11011" max="11011" width="4.85546875" style="110" bestFit="1" customWidth="1"/>
    <col min="11012" max="11012" width="40.7109375" style="110" customWidth="1"/>
    <col min="11013" max="11013" width="8.7109375" style="110" bestFit="1" customWidth="1"/>
    <col min="11014" max="11016" width="7.42578125" style="110" customWidth="1"/>
    <col min="11017" max="11018" width="12.42578125" style="110" customWidth="1"/>
    <col min="11019" max="11020" width="13.5703125" style="110" customWidth="1"/>
    <col min="11021" max="11021" width="17.28515625" style="110" customWidth="1"/>
    <col min="11022" max="11022" width="8.85546875" style="110" customWidth="1"/>
    <col min="11023" max="11023" width="7.42578125" style="110" customWidth="1"/>
    <col min="11024" max="11060" width="11.42578125" style="110" customWidth="1"/>
    <col min="11061" max="11264" width="11.42578125" style="110"/>
    <col min="11265" max="11265" width="3.140625" style="110" customWidth="1"/>
    <col min="11266" max="11266" width="6" style="110" bestFit="1" customWidth="1"/>
    <col min="11267" max="11267" width="4.85546875" style="110" bestFit="1" customWidth="1"/>
    <col min="11268" max="11268" width="40.7109375" style="110" customWidth="1"/>
    <col min="11269" max="11269" width="8.7109375" style="110" bestFit="1" customWidth="1"/>
    <col min="11270" max="11272" width="7.42578125" style="110" customWidth="1"/>
    <col min="11273" max="11274" width="12.42578125" style="110" customWidth="1"/>
    <col min="11275" max="11276" width="13.5703125" style="110" customWidth="1"/>
    <col min="11277" max="11277" width="17.28515625" style="110" customWidth="1"/>
    <col min="11278" max="11278" width="8.85546875" style="110" customWidth="1"/>
    <col min="11279" max="11279" width="7.42578125" style="110" customWidth="1"/>
    <col min="11280" max="11316" width="11.42578125" style="110" customWidth="1"/>
    <col min="11317" max="11520" width="11.42578125" style="110"/>
    <col min="11521" max="11521" width="3.140625" style="110" customWidth="1"/>
    <col min="11522" max="11522" width="6" style="110" bestFit="1" customWidth="1"/>
    <col min="11523" max="11523" width="4.85546875" style="110" bestFit="1" customWidth="1"/>
    <col min="11524" max="11524" width="40.7109375" style="110" customWidth="1"/>
    <col min="11525" max="11525" width="8.7109375" style="110" bestFit="1" customWidth="1"/>
    <col min="11526" max="11528" width="7.42578125" style="110" customWidth="1"/>
    <col min="11529" max="11530" width="12.42578125" style="110" customWidth="1"/>
    <col min="11531" max="11532" width="13.5703125" style="110" customWidth="1"/>
    <col min="11533" max="11533" width="17.28515625" style="110" customWidth="1"/>
    <col min="11534" max="11534" width="8.85546875" style="110" customWidth="1"/>
    <col min="11535" max="11535" width="7.42578125" style="110" customWidth="1"/>
    <col min="11536" max="11572" width="11.42578125" style="110" customWidth="1"/>
    <col min="11573" max="11776" width="11.42578125" style="110"/>
    <col min="11777" max="11777" width="3.140625" style="110" customWidth="1"/>
    <col min="11778" max="11778" width="6" style="110" bestFit="1" customWidth="1"/>
    <col min="11779" max="11779" width="4.85546875" style="110" bestFit="1" customWidth="1"/>
    <col min="11780" max="11780" width="40.7109375" style="110" customWidth="1"/>
    <col min="11781" max="11781" width="8.7109375" style="110" bestFit="1" customWidth="1"/>
    <col min="11782" max="11784" width="7.42578125" style="110" customWidth="1"/>
    <col min="11785" max="11786" width="12.42578125" style="110" customWidth="1"/>
    <col min="11787" max="11788" width="13.5703125" style="110" customWidth="1"/>
    <col min="11789" max="11789" width="17.28515625" style="110" customWidth="1"/>
    <col min="11790" max="11790" width="8.85546875" style="110" customWidth="1"/>
    <col min="11791" max="11791" width="7.42578125" style="110" customWidth="1"/>
    <col min="11792" max="11828" width="11.42578125" style="110" customWidth="1"/>
    <col min="11829" max="12032" width="11.42578125" style="110"/>
    <col min="12033" max="12033" width="3.140625" style="110" customWidth="1"/>
    <col min="12034" max="12034" width="6" style="110" bestFit="1" customWidth="1"/>
    <col min="12035" max="12035" width="4.85546875" style="110" bestFit="1" customWidth="1"/>
    <col min="12036" max="12036" width="40.7109375" style="110" customWidth="1"/>
    <col min="12037" max="12037" width="8.7109375" style="110" bestFit="1" customWidth="1"/>
    <col min="12038" max="12040" width="7.42578125" style="110" customWidth="1"/>
    <col min="12041" max="12042" width="12.42578125" style="110" customWidth="1"/>
    <col min="12043" max="12044" width="13.5703125" style="110" customWidth="1"/>
    <col min="12045" max="12045" width="17.28515625" style="110" customWidth="1"/>
    <col min="12046" max="12046" width="8.85546875" style="110" customWidth="1"/>
    <col min="12047" max="12047" width="7.42578125" style="110" customWidth="1"/>
    <col min="12048" max="12084" width="11.42578125" style="110" customWidth="1"/>
    <col min="12085" max="12288" width="11.42578125" style="110"/>
    <col min="12289" max="12289" width="3.140625" style="110" customWidth="1"/>
    <col min="12290" max="12290" width="6" style="110" bestFit="1" customWidth="1"/>
    <col min="12291" max="12291" width="4.85546875" style="110" bestFit="1" customWidth="1"/>
    <col min="12292" max="12292" width="40.7109375" style="110" customWidth="1"/>
    <col min="12293" max="12293" width="8.7109375" style="110" bestFit="1" customWidth="1"/>
    <col min="12294" max="12296" width="7.42578125" style="110" customWidth="1"/>
    <col min="12297" max="12298" width="12.42578125" style="110" customWidth="1"/>
    <col min="12299" max="12300" width="13.5703125" style="110" customWidth="1"/>
    <col min="12301" max="12301" width="17.28515625" style="110" customWidth="1"/>
    <col min="12302" max="12302" width="8.85546875" style="110" customWidth="1"/>
    <col min="12303" max="12303" width="7.42578125" style="110" customWidth="1"/>
    <col min="12304" max="12340" width="11.42578125" style="110" customWidth="1"/>
    <col min="12341" max="12544" width="11.42578125" style="110"/>
    <col min="12545" max="12545" width="3.140625" style="110" customWidth="1"/>
    <col min="12546" max="12546" width="6" style="110" bestFit="1" customWidth="1"/>
    <col min="12547" max="12547" width="4.85546875" style="110" bestFit="1" customWidth="1"/>
    <col min="12548" max="12548" width="40.7109375" style="110" customWidth="1"/>
    <col min="12549" max="12549" width="8.7109375" style="110" bestFit="1" customWidth="1"/>
    <col min="12550" max="12552" width="7.42578125" style="110" customWidth="1"/>
    <col min="12553" max="12554" width="12.42578125" style="110" customWidth="1"/>
    <col min="12555" max="12556" width="13.5703125" style="110" customWidth="1"/>
    <col min="12557" max="12557" width="17.28515625" style="110" customWidth="1"/>
    <col min="12558" max="12558" width="8.85546875" style="110" customWidth="1"/>
    <col min="12559" max="12559" width="7.42578125" style="110" customWidth="1"/>
    <col min="12560" max="12596" width="11.42578125" style="110" customWidth="1"/>
    <col min="12597" max="12800" width="11.42578125" style="110"/>
    <col min="12801" max="12801" width="3.140625" style="110" customWidth="1"/>
    <col min="12802" max="12802" width="6" style="110" bestFit="1" customWidth="1"/>
    <col min="12803" max="12803" width="4.85546875" style="110" bestFit="1" customWidth="1"/>
    <col min="12804" max="12804" width="40.7109375" style="110" customWidth="1"/>
    <col min="12805" max="12805" width="8.7109375" style="110" bestFit="1" customWidth="1"/>
    <col min="12806" max="12808" width="7.42578125" style="110" customWidth="1"/>
    <col min="12809" max="12810" width="12.42578125" style="110" customWidth="1"/>
    <col min="12811" max="12812" width="13.5703125" style="110" customWidth="1"/>
    <col min="12813" max="12813" width="17.28515625" style="110" customWidth="1"/>
    <col min="12814" max="12814" width="8.85546875" style="110" customWidth="1"/>
    <col min="12815" max="12815" width="7.42578125" style="110" customWidth="1"/>
    <col min="12816" max="12852" width="11.42578125" style="110" customWidth="1"/>
    <col min="12853" max="13056" width="11.42578125" style="110"/>
    <col min="13057" max="13057" width="3.140625" style="110" customWidth="1"/>
    <col min="13058" max="13058" width="6" style="110" bestFit="1" customWidth="1"/>
    <col min="13059" max="13059" width="4.85546875" style="110" bestFit="1" customWidth="1"/>
    <col min="13060" max="13060" width="40.7109375" style="110" customWidth="1"/>
    <col min="13061" max="13061" width="8.7109375" style="110" bestFit="1" customWidth="1"/>
    <col min="13062" max="13064" width="7.42578125" style="110" customWidth="1"/>
    <col min="13065" max="13066" width="12.42578125" style="110" customWidth="1"/>
    <col min="13067" max="13068" width="13.5703125" style="110" customWidth="1"/>
    <col min="13069" max="13069" width="17.28515625" style="110" customWidth="1"/>
    <col min="13070" max="13070" width="8.85546875" style="110" customWidth="1"/>
    <col min="13071" max="13071" width="7.42578125" style="110" customWidth="1"/>
    <col min="13072" max="13108" width="11.42578125" style="110" customWidth="1"/>
    <col min="13109" max="13312" width="11.42578125" style="110"/>
    <col min="13313" max="13313" width="3.140625" style="110" customWidth="1"/>
    <col min="13314" max="13314" width="6" style="110" bestFit="1" customWidth="1"/>
    <col min="13315" max="13315" width="4.85546875" style="110" bestFit="1" customWidth="1"/>
    <col min="13316" max="13316" width="40.7109375" style="110" customWidth="1"/>
    <col min="13317" max="13317" width="8.7109375" style="110" bestFit="1" customWidth="1"/>
    <col min="13318" max="13320" width="7.42578125" style="110" customWidth="1"/>
    <col min="13321" max="13322" width="12.42578125" style="110" customWidth="1"/>
    <col min="13323" max="13324" width="13.5703125" style="110" customWidth="1"/>
    <col min="13325" max="13325" width="17.28515625" style="110" customWidth="1"/>
    <col min="13326" max="13326" width="8.85546875" style="110" customWidth="1"/>
    <col min="13327" max="13327" width="7.42578125" style="110" customWidth="1"/>
    <col min="13328" max="13364" width="11.42578125" style="110" customWidth="1"/>
    <col min="13365" max="13568" width="11.42578125" style="110"/>
    <col min="13569" max="13569" width="3.140625" style="110" customWidth="1"/>
    <col min="13570" max="13570" width="6" style="110" bestFit="1" customWidth="1"/>
    <col min="13571" max="13571" width="4.85546875" style="110" bestFit="1" customWidth="1"/>
    <col min="13572" max="13572" width="40.7109375" style="110" customWidth="1"/>
    <col min="13573" max="13573" width="8.7109375" style="110" bestFit="1" customWidth="1"/>
    <col min="13574" max="13576" width="7.42578125" style="110" customWidth="1"/>
    <col min="13577" max="13578" width="12.42578125" style="110" customWidth="1"/>
    <col min="13579" max="13580" width="13.5703125" style="110" customWidth="1"/>
    <col min="13581" max="13581" width="17.28515625" style="110" customWidth="1"/>
    <col min="13582" max="13582" width="8.85546875" style="110" customWidth="1"/>
    <col min="13583" max="13583" width="7.42578125" style="110" customWidth="1"/>
    <col min="13584" max="13620" width="11.42578125" style="110" customWidth="1"/>
    <col min="13621" max="13824" width="11.42578125" style="110"/>
    <col min="13825" max="13825" width="3.140625" style="110" customWidth="1"/>
    <col min="13826" max="13826" width="6" style="110" bestFit="1" customWidth="1"/>
    <col min="13827" max="13827" width="4.85546875" style="110" bestFit="1" customWidth="1"/>
    <col min="13828" max="13828" width="40.7109375" style="110" customWidth="1"/>
    <col min="13829" max="13829" width="8.7109375" style="110" bestFit="1" customWidth="1"/>
    <col min="13830" max="13832" width="7.42578125" style="110" customWidth="1"/>
    <col min="13833" max="13834" width="12.42578125" style="110" customWidth="1"/>
    <col min="13835" max="13836" width="13.5703125" style="110" customWidth="1"/>
    <col min="13837" max="13837" width="17.28515625" style="110" customWidth="1"/>
    <col min="13838" max="13838" width="8.85546875" style="110" customWidth="1"/>
    <col min="13839" max="13839" width="7.42578125" style="110" customWidth="1"/>
    <col min="13840" max="13876" width="11.42578125" style="110" customWidth="1"/>
    <col min="13877" max="14080" width="11.42578125" style="110"/>
    <col min="14081" max="14081" width="3.140625" style="110" customWidth="1"/>
    <col min="14082" max="14082" width="6" style="110" bestFit="1" customWidth="1"/>
    <col min="14083" max="14083" width="4.85546875" style="110" bestFit="1" customWidth="1"/>
    <col min="14084" max="14084" width="40.7109375" style="110" customWidth="1"/>
    <col min="14085" max="14085" width="8.7109375" style="110" bestFit="1" customWidth="1"/>
    <col min="14086" max="14088" width="7.42578125" style="110" customWidth="1"/>
    <col min="14089" max="14090" width="12.42578125" style="110" customWidth="1"/>
    <col min="14091" max="14092" width="13.5703125" style="110" customWidth="1"/>
    <col min="14093" max="14093" width="17.28515625" style="110" customWidth="1"/>
    <col min="14094" max="14094" width="8.85546875" style="110" customWidth="1"/>
    <col min="14095" max="14095" width="7.42578125" style="110" customWidth="1"/>
    <col min="14096" max="14132" width="11.42578125" style="110" customWidth="1"/>
    <col min="14133" max="14336" width="11.42578125" style="110"/>
    <col min="14337" max="14337" width="3.140625" style="110" customWidth="1"/>
    <col min="14338" max="14338" width="6" style="110" bestFit="1" customWidth="1"/>
    <col min="14339" max="14339" width="4.85546875" style="110" bestFit="1" customWidth="1"/>
    <col min="14340" max="14340" width="40.7109375" style="110" customWidth="1"/>
    <col min="14341" max="14341" width="8.7109375" style="110" bestFit="1" customWidth="1"/>
    <col min="14342" max="14344" width="7.42578125" style="110" customWidth="1"/>
    <col min="14345" max="14346" width="12.42578125" style="110" customWidth="1"/>
    <col min="14347" max="14348" width="13.5703125" style="110" customWidth="1"/>
    <col min="14349" max="14349" width="17.28515625" style="110" customWidth="1"/>
    <col min="14350" max="14350" width="8.85546875" style="110" customWidth="1"/>
    <col min="14351" max="14351" width="7.42578125" style="110" customWidth="1"/>
    <col min="14352" max="14388" width="11.42578125" style="110" customWidth="1"/>
    <col min="14389" max="14592" width="11.42578125" style="110"/>
    <col min="14593" max="14593" width="3.140625" style="110" customWidth="1"/>
    <col min="14594" max="14594" width="6" style="110" bestFit="1" customWidth="1"/>
    <col min="14595" max="14595" width="4.85546875" style="110" bestFit="1" customWidth="1"/>
    <col min="14596" max="14596" width="40.7109375" style="110" customWidth="1"/>
    <col min="14597" max="14597" width="8.7109375" style="110" bestFit="1" customWidth="1"/>
    <col min="14598" max="14600" width="7.42578125" style="110" customWidth="1"/>
    <col min="14601" max="14602" width="12.42578125" style="110" customWidth="1"/>
    <col min="14603" max="14604" width="13.5703125" style="110" customWidth="1"/>
    <col min="14605" max="14605" width="17.28515625" style="110" customWidth="1"/>
    <col min="14606" max="14606" width="8.85546875" style="110" customWidth="1"/>
    <col min="14607" max="14607" width="7.42578125" style="110" customWidth="1"/>
    <col min="14608" max="14644" width="11.42578125" style="110" customWidth="1"/>
    <col min="14645" max="14848" width="11.42578125" style="110"/>
    <col min="14849" max="14849" width="3.140625" style="110" customWidth="1"/>
    <col min="14850" max="14850" width="6" style="110" bestFit="1" customWidth="1"/>
    <col min="14851" max="14851" width="4.85546875" style="110" bestFit="1" customWidth="1"/>
    <col min="14852" max="14852" width="40.7109375" style="110" customWidth="1"/>
    <col min="14853" max="14853" width="8.7109375" style="110" bestFit="1" customWidth="1"/>
    <col min="14854" max="14856" width="7.42578125" style="110" customWidth="1"/>
    <col min="14857" max="14858" width="12.42578125" style="110" customWidth="1"/>
    <col min="14859" max="14860" width="13.5703125" style="110" customWidth="1"/>
    <col min="14861" max="14861" width="17.28515625" style="110" customWidth="1"/>
    <col min="14862" max="14862" width="8.85546875" style="110" customWidth="1"/>
    <col min="14863" max="14863" width="7.42578125" style="110" customWidth="1"/>
    <col min="14864" max="14900" width="11.42578125" style="110" customWidth="1"/>
    <col min="14901" max="15104" width="11.42578125" style="110"/>
    <col min="15105" max="15105" width="3.140625" style="110" customWidth="1"/>
    <col min="15106" max="15106" width="6" style="110" bestFit="1" customWidth="1"/>
    <col min="15107" max="15107" width="4.85546875" style="110" bestFit="1" customWidth="1"/>
    <col min="15108" max="15108" width="40.7109375" style="110" customWidth="1"/>
    <col min="15109" max="15109" width="8.7109375" style="110" bestFit="1" customWidth="1"/>
    <col min="15110" max="15112" width="7.42578125" style="110" customWidth="1"/>
    <col min="15113" max="15114" width="12.42578125" style="110" customWidth="1"/>
    <col min="15115" max="15116" width="13.5703125" style="110" customWidth="1"/>
    <col min="15117" max="15117" width="17.28515625" style="110" customWidth="1"/>
    <col min="15118" max="15118" width="8.85546875" style="110" customWidth="1"/>
    <col min="15119" max="15119" width="7.42578125" style="110" customWidth="1"/>
    <col min="15120" max="15156" width="11.42578125" style="110" customWidth="1"/>
    <col min="15157" max="15360" width="11.42578125" style="110"/>
    <col min="15361" max="15361" width="3.140625" style="110" customWidth="1"/>
    <col min="15362" max="15362" width="6" style="110" bestFit="1" customWidth="1"/>
    <col min="15363" max="15363" width="4.85546875" style="110" bestFit="1" customWidth="1"/>
    <col min="15364" max="15364" width="40.7109375" style="110" customWidth="1"/>
    <col min="15365" max="15365" width="8.7109375" style="110" bestFit="1" customWidth="1"/>
    <col min="15366" max="15368" width="7.42578125" style="110" customWidth="1"/>
    <col min="15369" max="15370" width="12.42578125" style="110" customWidth="1"/>
    <col min="15371" max="15372" width="13.5703125" style="110" customWidth="1"/>
    <col min="15373" max="15373" width="17.28515625" style="110" customWidth="1"/>
    <col min="15374" max="15374" width="8.85546875" style="110" customWidth="1"/>
    <col min="15375" max="15375" width="7.42578125" style="110" customWidth="1"/>
    <col min="15376" max="15412" width="11.42578125" style="110" customWidth="1"/>
    <col min="15413" max="15616" width="11.42578125" style="110"/>
    <col min="15617" max="15617" width="3.140625" style="110" customWidth="1"/>
    <col min="15618" max="15618" width="6" style="110" bestFit="1" customWidth="1"/>
    <col min="15619" max="15619" width="4.85546875" style="110" bestFit="1" customWidth="1"/>
    <col min="15620" max="15620" width="40.7109375" style="110" customWidth="1"/>
    <col min="15621" max="15621" width="8.7109375" style="110" bestFit="1" customWidth="1"/>
    <col min="15622" max="15624" width="7.42578125" style="110" customWidth="1"/>
    <col min="15625" max="15626" width="12.42578125" style="110" customWidth="1"/>
    <col min="15627" max="15628" width="13.5703125" style="110" customWidth="1"/>
    <col min="15629" max="15629" width="17.28515625" style="110" customWidth="1"/>
    <col min="15630" max="15630" width="8.85546875" style="110" customWidth="1"/>
    <col min="15631" max="15631" width="7.42578125" style="110" customWidth="1"/>
    <col min="15632" max="15668" width="11.42578125" style="110" customWidth="1"/>
    <col min="15669" max="15872" width="11.42578125" style="110"/>
    <col min="15873" max="15873" width="3.140625" style="110" customWidth="1"/>
    <col min="15874" max="15874" width="6" style="110" bestFit="1" customWidth="1"/>
    <col min="15875" max="15875" width="4.85546875" style="110" bestFit="1" customWidth="1"/>
    <col min="15876" max="15876" width="40.7109375" style="110" customWidth="1"/>
    <col min="15877" max="15877" width="8.7109375" style="110" bestFit="1" customWidth="1"/>
    <col min="15878" max="15880" width="7.42578125" style="110" customWidth="1"/>
    <col min="15881" max="15882" width="12.42578125" style="110" customWidth="1"/>
    <col min="15883" max="15884" width="13.5703125" style="110" customWidth="1"/>
    <col min="15885" max="15885" width="17.28515625" style="110" customWidth="1"/>
    <col min="15886" max="15886" width="8.85546875" style="110" customWidth="1"/>
    <col min="15887" max="15887" width="7.42578125" style="110" customWidth="1"/>
    <col min="15888" max="15924" width="11.42578125" style="110" customWidth="1"/>
    <col min="15925" max="16128" width="11.42578125" style="110"/>
    <col min="16129" max="16129" width="3.140625" style="110" customWidth="1"/>
    <col min="16130" max="16130" width="6" style="110" bestFit="1" customWidth="1"/>
    <col min="16131" max="16131" width="4.85546875" style="110" bestFit="1" customWidth="1"/>
    <col min="16132" max="16132" width="40.7109375" style="110" customWidth="1"/>
    <col min="16133" max="16133" width="8.7109375" style="110" bestFit="1" customWidth="1"/>
    <col min="16134" max="16136" width="7.42578125" style="110" customWidth="1"/>
    <col min="16137" max="16138" width="12.42578125" style="110" customWidth="1"/>
    <col min="16139" max="16140" width="13.5703125" style="110" customWidth="1"/>
    <col min="16141" max="16141" width="17.28515625" style="110" customWidth="1"/>
    <col min="16142" max="16142" width="8.85546875" style="110" customWidth="1"/>
    <col min="16143" max="16143" width="7.42578125" style="110" customWidth="1"/>
    <col min="16144" max="16180" width="11.42578125" style="110" customWidth="1"/>
    <col min="16181" max="16384" width="11.42578125" style="110"/>
  </cols>
  <sheetData>
    <row r="2" spans="1:31" ht="13.5" customHeight="1" x14ac:dyDescent="0.25">
      <c r="D2" s="140"/>
      <c r="M2" s="174">
        <v>1</v>
      </c>
      <c r="N2" s="174">
        <v>1</v>
      </c>
      <c r="O2" s="174">
        <v>2</v>
      </c>
      <c r="P2" s="174">
        <v>2</v>
      </c>
      <c r="Q2" s="174">
        <v>3</v>
      </c>
      <c r="R2" s="174">
        <v>3</v>
      </c>
      <c r="S2" s="174">
        <v>4</v>
      </c>
      <c r="T2" s="174">
        <v>4</v>
      </c>
      <c r="U2" s="174">
        <v>5</v>
      </c>
      <c r="V2" s="174">
        <v>5</v>
      </c>
      <c r="W2" s="261" t="s">
        <v>211</v>
      </c>
      <c r="X2" s="261"/>
      <c r="Y2" s="261"/>
    </row>
    <row r="3" spans="1:31" s="68" customFormat="1" ht="42.75" customHeight="1" x14ac:dyDescent="0.2">
      <c r="B3" s="195" t="s">
        <v>1</v>
      </c>
      <c r="C3" s="195" t="s">
        <v>0</v>
      </c>
      <c r="D3" s="195" t="s">
        <v>181</v>
      </c>
      <c r="E3" s="175" t="s">
        <v>3</v>
      </c>
      <c r="F3" s="175" t="s">
        <v>187</v>
      </c>
      <c r="G3" s="176" t="s">
        <v>4</v>
      </c>
      <c r="H3" s="176" t="s">
        <v>212</v>
      </c>
      <c r="I3" s="177" t="s">
        <v>213</v>
      </c>
      <c r="J3" s="177" t="s">
        <v>214</v>
      </c>
      <c r="K3" s="178" t="s">
        <v>215</v>
      </c>
      <c r="L3" s="179" t="s">
        <v>216</v>
      </c>
      <c r="M3" s="180" t="s">
        <v>205</v>
      </c>
      <c r="N3" s="180" t="s">
        <v>217</v>
      </c>
      <c r="O3" s="180" t="s">
        <v>206</v>
      </c>
      <c r="P3" s="180" t="s">
        <v>218</v>
      </c>
      <c r="Q3" s="180" t="s">
        <v>207</v>
      </c>
      <c r="R3" s="180" t="s">
        <v>219</v>
      </c>
      <c r="S3" s="180" t="s">
        <v>208</v>
      </c>
      <c r="T3" s="180" t="s">
        <v>220</v>
      </c>
      <c r="U3" s="180" t="s">
        <v>221</v>
      </c>
      <c r="V3" s="180" t="s">
        <v>222</v>
      </c>
      <c r="W3" s="181" t="s">
        <v>223</v>
      </c>
      <c r="X3" s="182" t="s">
        <v>197</v>
      </c>
      <c r="Y3" s="183" t="s">
        <v>9</v>
      </c>
      <c r="Z3" s="184" t="s">
        <v>17</v>
      </c>
      <c r="AA3" s="185" t="s">
        <v>224</v>
      </c>
    </row>
    <row r="4" spans="1:31" ht="12.95" hidden="1" customHeight="1" x14ac:dyDescent="0.25">
      <c r="A4" s="113"/>
      <c r="B4" s="141" t="s">
        <v>182</v>
      </c>
      <c r="C4" s="142"/>
      <c r="E4" s="143">
        <v>559.5</v>
      </c>
      <c r="F4" s="143"/>
      <c r="G4" s="143"/>
      <c r="H4" s="143"/>
      <c r="I4" s="143"/>
      <c r="K4" s="143"/>
      <c r="L4" s="143"/>
      <c r="W4" s="143"/>
      <c r="X4" s="143"/>
      <c r="Y4" s="143"/>
      <c r="Z4" s="143"/>
      <c r="AA4" s="143"/>
    </row>
    <row r="5" spans="1:31" ht="12.95" hidden="1" customHeight="1" x14ac:dyDescent="0.25">
      <c r="B5" s="144" t="s">
        <v>183</v>
      </c>
      <c r="C5" s="145"/>
      <c r="D5" s="146"/>
      <c r="E5" s="143">
        <v>611.25</v>
      </c>
      <c r="F5" s="143"/>
      <c r="G5" s="143"/>
      <c r="H5" s="143"/>
      <c r="I5" s="143"/>
      <c r="K5" s="143"/>
      <c r="L5" s="143"/>
      <c r="W5" s="143"/>
      <c r="X5" s="143"/>
      <c r="Y5" s="143"/>
      <c r="Z5" s="143"/>
      <c r="AA5" s="143"/>
    </row>
    <row r="6" spans="1:31" ht="12.95" hidden="1" customHeight="1" x14ac:dyDescent="0.25">
      <c r="B6" s="144" t="s">
        <v>184</v>
      </c>
      <c r="C6" s="145"/>
      <c r="D6" s="111"/>
      <c r="E6" s="143">
        <f>8814.12/12</f>
        <v>734.5100000000001</v>
      </c>
      <c r="F6" s="143"/>
      <c r="G6" s="143"/>
      <c r="H6" s="143"/>
      <c r="I6" s="143"/>
      <c r="K6" s="143"/>
      <c r="L6" s="143"/>
      <c r="W6" s="143"/>
      <c r="X6" s="143"/>
      <c r="Y6" s="143"/>
      <c r="Z6" s="143"/>
      <c r="AA6" s="143"/>
    </row>
    <row r="7" spans="1:31" ht="12.95" hidden="1" customHeight="1" x14ac:dyDescent="0.25">
      <c r="B7" s="144" t="s">
        <v>185</v>
      </c>
      <c r="C7" s="145"/>
      <c r="E7" s="143"/>
      <c r="F7" s="143"/>
      <c r="G7" s="143"/>
      <c r="H7" s="143"/>
      <c r="I7" s="143"/>
      <c r="K7" s="143"/>
      <c r="L7" s="143"/>
      <c r="W7" s="143"/>
      <c r="X7" s="143"/>
      <c r="Y7" s="143"/>
      <c r="Z7" s="143"/>
      <c r="AA7" s="143"/>
    </row>
    <row r="8" spans="1:31" x14ac:dyDescent="0.25">
      <c r="B8" s="144" t="s">
        <v>79</v>
      </c>
      <c r="C8" s="144">
        <v>26</v>
      </c>
      <c r="D8" s="126" t="s">
        <v>127</v>
      </c>
      <c r="E8" s="187">
        <v>1148.3399999999999</v>
      </c>
      <c r="F8" s="187">
        <v>708.61</v>
      </c>
      <c r="G8" s="187">
        <v>44.18</v>
      </c>
      <c r="H8" s="187">
        <v>27.26</v>
      </c>
      <c r="I8" s="187">
        <v>732.9</v>
      </c>
      <c r="J8" s="188">
        <f>+I8</f>
        <v>732.9</v>
      </c>
      <c r="K8" s="187">
        <v>1430.8759500000001</v>
      </c>
      <c r="L8" s="189">
        <f>+K8*78%</f>
        <v>1116.083241</v>
      </c>
      <c r="M8" s="190">
        <v>30.25</v>
      </c>
      <c r="N8" s="190">
        <v>23.6</v>
      </c>
      <c r="O8" s="190">
        <v>37.93</v>
      </c>
      <c r="P8" s="190">
        <v>29.59</v>
      </c>
      <c r="Q8" s="190">
        <v>52.33</v>
      </c>
      <c r="R8" s="190">
        <v>40.82</v>
      </c>
      <c r="S8" s="190">
        <v>70.33</v>
      </c>
      <c r="T8" s="190">
        <v>54.86</v>
      </c>
      <c r="U8" s="190">
        <v>87.83</v>
      </c>
      <c r="V8" s="190">
        <v>68.510000000000005</v>
      </c>
      <c r="W8" s="187">
        <v>168.56</v>
      </c>
      <c r="X8" s="187">
        <v>561.73</v>
      </c>
      <c r="Y8" s="187">
        <v>39.43</v>
      </c>
      <c r="Z8" s="191">
        <v>48.99</v>
      </c>
      <c r="AA8" s="192">
        <v>111.9</v>
      </c>
    </row>
    <row r="9" spans="1:31" ht="12.95" customHeight="1" x14ac:dyDescent="0.25">
      <c r="B9" s="144" t="s">
        <v>79</v>
      </c>
      <c r="C9" s="144">
        <v>26</v>
      </c>
      <c r="D9" s="120" t="s">
        <v>104</v>
      </c>
      <c r="E9" s="188">
        <f>+E8</f>
        <v>1148.3399999999999</v>
      </c>
      <c r="F9" s="188">
        <f>+F8</f>
        <v>708.61</v>
      </c>
      <c r="G9" s="188">
        <f>+G8</f>
        <v>44.18</v>
      </c>
      <c r="H9" s="188">
        <f>+H8</f>
        <v>27.26</v>
      </c>
      <c r="I9" s="188">
        <f>+I8</f>
        <v>732.9</v>
      </c>
      <c r="J9" s="188">
        <f t="shared" ref="J9:J13" si="0">+I9</f>
        <v>732.9</v>
      </c>
      <c r="K9" s="187">
        <v>686.28210000000001</v>
      </c>
      <c r="L9" s="189">
        <f>+K9*78%</f>
        <v>535.30003800000009</v>
      </c>
      <c r="M9" s="193">
        <f>+M8</f>
        <v>30.25</v>
      </c>
      <c r="N9" s="193">
        <f t="shared" ref="N9:V9" si="1">+N8</f>
        <v>23.6</v>
      </c>
      <c r="O9" s="193">
        <f t="shared" si="1"/>
        <v>37.93</v>
      </c>
      <c r="P9" s="193">
        <f t="shared" si="1"/>
        <v>29.59</v>
      </c>
      <c r="Q9" s="193">
        <f t="shared" si="1"/>
        <v>52.33</v>
      </c>
      <c r="R9" s="193">
        <f t="shared" si="1"/>
        <v>40.82</v>
      </c>
      <c r="S9" s="193">
        <f t="shared" si="1"/>
        <v>70.33</v>
      </c>
      <c r="T9" s="193">
        <f t="shared" si="1"/>
        <v>54.86</v>
      </c>
      <c r="U9" s="193">
        <f t="shared" si="1"/>
        <v>87.83</v>
      </c>
      <c r="V9" s="193">
        <f t="shared" si="1"/>
        <v>68.510000000000005</v>
      </c>
      <c r="W9" s="187">
        <v>151.75</v>
      </c>
      <c r="X9" s="187">
        <v>505.56</v>
      </c>
      <c r="Y9" s="187">
        <v>35.47</v>
      </c>
      <c r="Z9" s="193">
        <f t="shared" ref="Z9:AA9" si="2">+Z8</f>
        <v>48.99</v>
      </c>
      <c r="AA9" s="193">
        <f t="shared" si="2"/>
        <v>111.9</v>
      </c>
    </row>
    <row r="10" spans="1:31" ht="12.95" customHeight="1" x14ac:dyDescent="0.25">
      <c r="B10" s="144" t="s">
        <v>79</v>
      </c>
      <c r="C10" s="144">
        <v>24</v>
      </c>
      <c r="D10" s="126" t="s">
        <v>107</v>
      </c>
      <c r="E10" s="188">
        <f t="shared" ref="E10:H10" si="3">+E9</f>
        <v>1148.3399999999999</v>
      </c>
      <c r="F10" s="188">
        <f t="shared" si="3"/>
        <v>708.61</v>
      </c>
      <c r="G10" s="188">
        <f t="shared" si="3"/>
        <v>44.18</v>
      </c>
      <c r="H10" s="188">
        <f t="shared" si="3"/>
        <v>27.26</v>
      </c>
      <c r="I10" s="187">
        <v>611.9</v>
      </c>
      <c r="J10" s="188">
        <f t="shared" si="0"/>
        <v>611.9</v>
      </c>
      <c r="K10" s="187">
        <v>636.27305000000001</v>
      </c>
      <c r="L10" s="189">
        <f>+K10*78%</f>
        <v>496.292979</v>
      </c>
      <c r="M10" s="193">
        <f t="shared" ref="M10:AA17" si="4">+M9</f>
        <v>30.25</v>
      </c>
      <c r="N10" s="193">
        <f t="shared" si="4"/>
        <v>23.6</v>
      </c>
      <c r="O10" s="193">
        <f t="shared" si="4"/>
        <v>37.93</v>
      </c>
      <c r="P10" s="193">
        <f t="shared" si="4"/>
        <v>29.59</v>
      </c>
      <c r="Q10" s="193">
        <f t="shared" si="4"/>
        <v>52.33</v>
      </c>
      <c r="R10" s="193">
        <f t="shared" si="4"/>
        <v>40.82</v>
      </c>
      <c r="S10" s="193">
        <f t="shared" si="4"/>
        <v>70.33</v>
      </c>
      <c r="T10" s="193">
        <f t="shared" si="4"/>
        <v>54.86</v>
      </c>
      <c r="U10" s="193">
        <f t="shared" si="4"/>
        <v>87.83</v>
      </c>
      <c r="V10" s="193">
        <f t="shared" si="4"/>
        <v>68.510000000000005</v>
      </c>
      <c r="W10" s="187">
        <v>134.88</v>
      </c>
      <c r="X10" s="187">
        <v>449.37</v>
      </c>
      <c r="Y10" s="187">
        <v>31.59</v>
      </c>
      <c r="Z10" s="193">
        <f t="shared" ref="Z10:AA10" si="5">+Z9</f>
        <v>48.99</v>
      </c>
      <c r="AA10" s="193">
        <f t="shared" si="5"/>
        <v>111.9</v>
      </c>
    </row>
    <row r="11" spans="1:31" ht="12.95" customHeight="1" x14ac:dyDescent="0.25">
      <c r="B11" s="144" t="s">
        <v>79</v>
      </c>
      <c r="C11" s="144">
        <v>24</v>
      </c>
      <c r="D11" s="126" t="s">
        <v>126</v>
      </c>
      <c r="E11" s="188">
        <f t="shared" ref="E11:H11" si="6">+E10</f>
        <v>1148.3399999999999</v>
      </c>
      <c r="F11" s="188">
        <f t="shared" si="6"/>
        <v>708.61</v>
      </c>
      <c r="G11" s="188">
        <f t="shared" si="6"/>
        <v>44.18</v>
      </c>
      <c r="H11" s="188">
        <f t="shared" si="6"/>
        <v>27.26</v>
      </c>
      <c r="I11" s="188">
        <f>+I10</f>
        <v>611.9</v>
      </c>
      <c r="J11" s="188">
        <f t="shared" si="0"/>
        <v>611.9</v>
      </c>
      <c r="K11" s="188">
        <f t="shared" ref="K11" si="7">+K10</f>
        <v>636.27305000000001</v>
      </c>
      <c r="L11" s="188">
        <f>+L10</f>
        <v>496.292979</v>
      </c>
      <c r="M11" s="193">
        <f t="shared" si="4"/>
        <v>30.25</v>
      </c>
      <c r="N11" s="193">
        <f t="shared" si="4"/>
        <v>23.6</v>
      </c>
      <c r="O11" s="193">
        <f t="shared" si="4"/>
        <v>37.93</v>
      </c>
      <c r="P11" s="193">
        <f t="shared" si="4"/>
        <v>29.59</v>
      </c>
      <c r="Q11" s="193">
        <f t="shared" si="4"/>
        <v>52.33</v>
      </c>
      <c r="R11" s="193">
        <f t="shared" si="4"/>
        <v>40.82</v>
      </c>
      <c r="S11" s="193">
        <f t="shared" si="4"/>
        <v>70.33</v>
      </c>
      <c r="T11" s="193">
        <f t="shared" si="4"/>
        <v>54.86</v>
      </c>
      <c r="U11" s="193">
        <f t="shared" si="4"/>
        <v>87.83</v>
      </c>
      <c r="V11" s="193">
        <f t="shared" si="4"/>
        <v>68.510000000000005</v>
      </c>
      <c r="W11" s="193">
        <f t="shared" si="4"/>
        <v>134.88</v>
      </c>
      <c r="X11" s="193">
        <f t="shared" si="4"/>
        <v>449.37</v>
      </c>
      <c r="Y11" s="193">
        <f t="shared" si="4"/>
        <v>31.59</v>
      </c>
      <c r="Z11" s="193">
        <f t="shared" si="4"/>
        <v>48.99</v>
      </c>
      <c r="AA11" s="193">
        <f t="shared" si="4"/>
        <v>111.9</v>
      </c>
    </row>
    <row r="12" spans="1:31" ht="12.95" customHeight="1" x14ac:dyDescent="0.25">
      <c r="B12" s="144" t="s">
        <v>79</v>
      </c>
      <c r="C12" s="144">
        <v>24</v>
      </c>
      <c r="D12" s="126" t="s">
        <v>106</v>
      </c>
      <c r="E12" s="188">
        <f t="shared" ref="E12:H12" si="8">+E11</f>
        <v>1148.3399999999999</v>
      </c>
      <c r="F12" s="188">
        <f t="shared" si="8"/>
        <v>708.61</v>
      </c>
      <c r="G12" s="188">
        <f t="shared" si="8"/>
        <v>44.18</v>
      </c>
      <c r="H12" s="188">
        <f t="shared" si="8"/>
        <v>27.26</v>
      </c>
      <c r="I12" s="188">
        <f>+I11</f>
        <v>611.9</v>
      </c>
      <c r="J12" s="188">
        <f t="shared" si="0"/>
        <v>611.9</v>
      </c>
      <c r="K12" s="188">
        <f t="shared" ref="K12:L12" si="9">+K11</f>
        <v>636.27305000000001</v>
      </c>
      <c r="L12" s="188">
        <f t="shared" si="9"/>
        <v>496.292979</v>
      </c>
      <c r="M12" s="193">
        <f t="shared" si="4"/>
        <v>30.25</v>
      </c>
      <c r="N12" s="193">
        <f t="shared" si="4"/>
        <v>23.6</v>
      </c>
      <c r="O12" s="193">
        <f t="shared" si="4"/>
        <v>37.93</v>
      </c>
      <c r="P12" s="193">
        <f t="shared" si="4"/>
        <v>29.59</v>
      </c>
      <c r="Q12" s="193">
        <f t="shared" si="4"/>
        <v>52.33</v>
      </c>
      <c r="R12" s="193">
        <f t="shared" si="4"/>
        <v>40.82</v>
      </c>
      <c r="S12" s="193">
        <f t="shared" si="4"/>
        <v>70.33</v>
      </c>
      <c r="T12" s="193">
        <f t="shared" si="4"/>
        <v>54.86</v>
      </c>
      <c r="U12" s="193">
        <f t="shared" si="4"/>
        <v>87.83</v>
      </c>
      <c r="V12" s="193">
        <f t="shared" si="4"/>
        <v>68.510000000000005</v>
      </c>
      <c r="W12" s="193">
        <f t="shared" si="4"/>
        <v>134.88</v>
      </c>
      <c r="X12" s="193">
        <f t="shared" si="4"/>
        <v>449.37</v>
      </c>
      <c r="Y12" s="193">
        <f t="shared" si="4"/>
        <v>31.59</v>
      </c>
      <c r="Z12" s="193">
        <f t="shared" si="4"/>
        <v>48.99</v>
      </c>
      <c r="AA12" s="193">
        <f t="shared" si="4"/>
        <v>111.9</v>
      </c>
    </row>
    <row r="13" spans="1:31" ht="12.95" customHeight="1" x14ac:dyDescent="0.25">
      <c r="B13" s="144" t="s">
        <v>79</v>
      </c>
      <c r="C13" s="144">
        <v>24</v>
      </c>
      <c r="D13" s="126" t="s">
        <v>125</v>
      </c>
      <c r="E13" s="188">
        <f t="shared" ref="E13:H13" si="10">+E12</f>
        <v>1148.3399999999999</v>
      </c>
      <c r="F13" s="188">
        <f t="shared" si="10"/>
        <v>708.61</v>
      </c>
      <c r="G13" s="188">
        <f t="shared" si="10"/>
        <v>44.18</v>
      </c>
      <c r="H13" s="188">
        <f t="shared" si="10"/>
        <v>27.26</v>
      </c>
      <c r="I13" s="188">
        <f>+I12</f>
        <v>611.9</v>
      </c>
      <c r="J13" s="188">
        <f t="shared" si="0"/>
        <v>611.9</v>
      </c>
      <c r="K13" s="188">
        <f t="shared" ref="K13:L13" si="11">+K12</f>
        <v>636.27305000000001</v>
      </c>
      <c r="L13" s="188">
        <f t="shared" si="11"/>
        <v>496.292979</v>
      </c>
      <c r="M13" s="193">
        <f t="shared" si="4"/>
        <v>30.25</v>
      </c>
      <c r="N13" s="193">
        <f t="shared" si="4"/>
        <v>23.6</v>
      </c>
      <c r="O13" s="193">
        <f t="shared" si="4"/>
        <v>37.93</v>
      </c>
      <c r="P13" s="193">
        <f t="shared" si="4"/>
        <v>29.59</v>
      </c>
      <c r="Q13" s="193">
        <f t="shared" si="4"/>
        <v>52.33</v>
      </c>
      <c r="R13" s="193">
        <f t="shared" si="4"/>
        <v>40.82</v>
      </c>
      <c r="S13" s="193">
        <f t="shared" si="4"/>
        <v>70.33</v>
      </c>
      <c r="T13" s="193">
        <f t="shared" si="4"/>
        <v>54.86</v>
      </c>
      <c r="U13" s="193">
        <f t="shared" si="4"/>
        <v>87.83</v>
      </c>
      <c r="V13" s="193">
        <f t="shared" si="4"/>
        <v>68.510000000000005</v>
      </c>
      <c r="W13" s="193">
        <f t="shared" si="4"/>
        <v>134.88</v>
      </c>
      <c r="X13" s="193">
        <f t="shared" si="4"/>
        <v>449.37</v>
      </c>
      <c r="Y13" s="193">
        <f t="shared" si="4"/>
        <v>31.59</v>
      </c>
      <c r="Z13" s="193">
        <f t="shared" si="4"/>
        <v>48.99</v>
      </c>
      <c r="AA13" s="193">
        <f t="shared" si="4"/>
        <v>111.9</v>
      </c>
      <c r="AB13" s="110">
        <v>41108.9</v>
      </c>
      <c r="AC13" s="110">
        <f>(+AB13*1.69%)/14</f>
        <v>49.624315000000003</v>
      </c>
      <c r="AD13" s="110">
        <f>(+AB13*6.72%)/12</f>
        <v>230.20983999999999</v>
      </c>
      <c r="AE13" s="110">
        <f>+(AD13/30)*Nómina!C5</f>
        <v>15.347322666666665</v>
      </c>
    </row>
    <row r="14" spans="1:31" ht="12.95" customHeight="1" x14ac:dyDescent="0.25">
      <c r="B14" s="144" t="s">
        <v>121</v>
      </c>
      <c r="C14" s="144">
        <v>24</v>
      </c>
      <c r="D14" s="126" t="s">
        <v>108</v>
      </c>
      <c r="E14" s="187">
        <v>992.94</v>
      </c>
      <c r="F14" s="187">
        <v>724.16</v>
      </c>
      <c r="G14" s="187">
        <v>36.020000000000003</v>
      </c>
      <c r="H14" s="187">
        <v>26.26</v>
      </c>
      <c r="I14" s="188">
        <f>+I13</f>
        <v>611.9</v>
      </c>
      <c r="J14" s="188">
        <f>+I14</f>
        <v>611.9</v>
      </c>
      <c r="K14" s="187">
        <v>638.20155</v>
      </c>
      <c r="L14" s="189">
        <f>+K14*78%</f>
        <v>497.79720900000001</v>
      </c>
      <c r="M14" s="193">
        <f t="shared" si="4"/>
        <v>30.25</v>
      </c>
      <c r="N14" s="193">
        <f t="shared" si="4"/>
        <v>23.6</v>
      </c>
      <c r="O14" s="193">
        <f t="shared" si="4"/>
        <v>37.93</v>
      </c>
      <c r="P14" s="193">
        <f t="shared" si="4"/>
        <v>29.59</v>
      </c>
      <c r="Q14" s="193">
        <f t="shared" si="4"/>
        <v>52.33</v>
      </c>
      <c r="R14" s="193">
        <f t="shared" si="4"/>
        <v>40.82</v>
      </c>
      <c r="S14" s="193">
        <f t="shared" si="4"/>
        <v>70.33</v>
      </c>
      <c r="T14" s="193">
        <f t="shared" si="4"/>
        <v>54.86</v>
      </c>
      <c r="U14" s="193">
        <f t="shared" si="4"/>
        <v>87.83</v>
      </c>
      <c r="V14" s="193">
        <f t="shared" si="4"/>
        <v>68.510000000000005</v>
      </c>
      <c r="W14" s="187">
        <v>121.42</v>
      </c>
      <c r="X14" s="187">
        <v>404.45</v>
      </c>
      <c r="Y14" s="187">
        <v>28.39</v>
      </c>
      <c r="Z14" s="191">
        <v>38.56</v>
      </c>
      <c r="AA14" s="191">
        <v>88.07</v>
      </c>
      <c r="AB14" s="110">
        <v>32353.74</v>
      </c>
      <c r="AC14" s="110">
        <f>(+AB14*1.69%)/14</f>
        <v>39.055586142857138</v>
      </c>
      <c r="AD14" s="110">
        <f>(+AB14*6.72%)/12</f>
        <v>181.18094399999998</v>
      </c>
      <c r="AE14" s="110">
        <f>+(AD14/30)*Nómina!C6</f>
        <v>12.078729599999999</v>
      </c>
    </row>
    <row r="15" spans="1:31" ht="12.95" customHeight="1" x14ac:dyDescent="0.25">
      <c r="B15" s="144" t="s">
        <v>121</v>
      </c>
      <c r="C15" s="144">
        <v>24</v>
      </c>
      <c r="D15" s="126" t="s">
        <v>105</v>
      </c>
      <c r="E15" s="188">
        <f t="shared" ref="E15:H15" si="12">+E14</f>
        <v>992.94</v>
      </c>
      <c r="F15" s="188">
        <f t="shared" si="12"/>
        <v>724.16</v>
      </c>
      <c r="G15" s="188">
        <f t="shared" si="12"/>
        <v>36.020000000000003</v>
      </c>
      <c r="H15" s="188">
        <f t="shared" si="12"/>
        <v>26.26</v>
      </c>
      <c r="I15" s="188">
        <f>+I14</f>
        <v>611.9</v>
      </c>
      <c r="J15" s="188">
        <f t="shared" ref="J15:J17" si="13">+I15</f>
        <v>611.9</v>
      </c>
      <c r="K15" s="188">
        <f>+K14</f>
        <v>638.20155</v>
      </c>
      <c r="L15" s="188">
        <f>+L14</f>
        <v>497.79720900000001</v>
      </c>
      <c r="M15" s="193">
        <f t="shared" si="4"/>
        <v>30.25</v>
      </c>
      <c r="N15" s="193">
        <f t="shared" si="4"/>
        <v>23.6</v>
      </c>
      <c r="O15" s="193">
        <f t="shared" si="4"/>
        <v>37.93</v>
      </c>
      <c r="P15" s="193">
        <f t="shared" si="4"/>
        <v>29.59</v>
      </c>
      <c r="Q15" s="193">
        <f t="shared" si="4"/>
        <v>52.33</v>
      </c>
      <c r="R15" s="193">
        <f t="shared" si="4"/>
        <v>40.82</v>
      </c>
      <c r="S15" s="193">
        <f t="shared" si="4"/>
        <v>70.33</v>
      </c>
      <c r="T15" s="193">
        <f t="shared" si="4"/>
        <v>54.86</v>
      </c>
      <c r="U15" s="193">
        <f t="shared" si="4"/>
        <v>87.83</v>
      </c>
      <c r="V15" s="193">
        <f t="shared" si="4"/>
        <v>68.510000000000005</v>
      </c>
      <c r="W15" s="193">
        <f t="shared" si="4"/>
        <v>121.42</v>
      </c>
      <c r="X15" s="193">
        <f t="shared" si="4"/>
        <v>404.45</v>
      </c>
      <c r="Y15" s="193">
        <f t="shared" si="4"/>
        <v>28.39</v>
      </c>
      <c r="Z15" s="193">
        <f t="shared" si="4"/>
        <v>38.56</v>
      </c>
      <c r="AA15" s="193">
        <f t="shared" si="4"/>
        <v>88.07</v>
      </c>
    </row>
    <row r="16" spans="1:31" ht="12.95" customHeight="1" x14ac:dyDescent="0.25">
      <c r="B16" s="144" t="s">
        <v>121</v>
      </c>
      <c r="C16" s="144">
        <v>21</v>
      </c>
      <c r="D16" s="126" t="s">
        <v>109</v>
      </c>
      <c r="E16" s="188">
        <f t="shared" ref="E16:H16" si="14">+E15</f>
        <v>992.94</v>
      </c>
      <c r="F16" s="188">
        <f t="shared" si="14"/>
        <v>724.16</v>
      </c>
      <c r="G16" s="188">
        <f t="shared" si="14"/>
        <v>36.020000000000003</v>
      </c>
      <c r="H16" s="188">
        <f t="shared" si="14"/>
        <v>26.26</v>
      </c>
      <c r="I16" s="187">
        <v>496.88</v>
      </c>
      <c r="J16" s="188">
        <f t="shared" si="13"/>
        <v>496.88</v>
      </c>
      <c r="K16" s="187">
        <f>677.45+75.78</f>
        <v>753.23</v>
      </c>
      <c r="L16" s="189">
        <f>+K16*78%</f>
        <v>587.51940000000002</v>
      </c>
      <c r="M16" s="193">
        <f t="shared" si="4"/>
        <v>30.25</v>
      </c>
      <c r="N16" s="193">
        <f t="shared" si="4"/>
        <v>23.6</v>
      </c>
      <c r="O16" s="193">
        <f t="shared" si="4"/>
        <v>37.93</v>
      </c>
      <c r="P16" s="193">
        <f t="shared" si="4"/>
        <v>29.59</v>
      </c>
      <c r="Q16" s="193">
        <f t="shared" si="4"/>
        <v>52.33</v>
      </c>
      <c r="R16" s="193">
        <f t="shared" si="4"/>
        <v>40.82</v>
      </c>
      <c r="S16" s="193">
        <f t="shared" si="4"/>
        <v>70.33</v>
      </c>
      <c r="T16" s="193">
        <f t="shared" si="4"/>
        <v>54.86</v>
      </c>
      <c r="U16" s="193">
        <f t="shared" si="4"/>
        <v>87.83</v>
      </c>
      <c r="V16" s="193">
        <f t="shared" si="4"/>
        <v>68.510000000000005</v>
      </c>
      <c r="W16" s="193">
        <f t="shared" si="4"/>
        <v>121.42</v>
      </c>
      <c r="X16" s="193">
        <f t="shared" si="4"/>
        <v>404.45</v>
      </c>
      <c r="Y16" s="193">
        <f t="shared" si="4"/>
        <v>28.39</v>
      </c>
      <c r="Z16" s="193">
        <f t="shared" si="4"/>
        <v>38.56</v>
      </c>
      <c r="AA16" s="193">
        <f t="shared" si="4"/>
        <v>88.07</v>
      </c>
    </row>
    <row r="17" spans="2:27" x14ac:dyDescent="0.25">
      <c r="E17" s="188">
        <f t="shared" ref="E17:H17" si="15">+E16</f>
        <v>992.94</v>
      </c>
      <c r="F17" s="188">
        <f t="shared" si="15"/>
        <v>724.16</v>
      </c>
      <c r="G17" s="188">
        <f t="shared" si="15"/>
        <v>36.020000000000003</v>
      </c>
      <c r="H17" s="188">
        <f t="shared" si="15"/>
        <v>26.26</v>
      </c>
      <c r="I17" s="188">
        <f>+I16</f>
        <v>496.88</v>
      </c>
      <c r="J17" s="188">
        <f t="shared" si="13"/>
        <v>496.88</v>
      </c>
      <c r="K17" s="187">
        <v>677.4516000000001</v>
      </c>
      <c r="L17" s="189">
        <f>+K17*78%</f>
        <v>528.41224800000009</v>
      </c>
      <c r="M17" s="193">
        <f t="shared" si="4"/>
        <v>30.25</v>
      </c>
      <c r="N17" s="193">
        <f t="shared" si="4"/>
        <v>23.6</v>
      </c>
      <c r="O17" s="193">
        <f t="shared" si="4"/>
        <v>37.93</v>
      </c>
      <c r="P17" s="193">
        <f t="shared" si="4"/>
        <v>29.59</v>
      </c>
      <c r="Q17" s="193">
        <f t="shared" si="4"/>
        <v>52.33</v>
      </c>
      <c r="R17" s="193">
        <f t="shared" si="4"/>
        <v>40.82</v>
      </c>
      <c r="S17" s="193">
        <f t="shared" si="4"/>
        <v>70.33</v>
      </c>
      <c r="T17" s="193">
        <f t="shared" si="4"/>
        <v>54.86</v>
      </c>
      <c r="U17" s="193">
        <f t="shared" si="4"/>
        <v>87.83</v>
      </c>
      <c r="V17" s="193">
        <f t="shared" si="4"/>
        <v>68.510000000000005</v>
      </c>
      <c r="W17" s="193">
        <f t="shared" si="4"/>
        <v>121.42</v>
      </c>
      <c r="X17" s="193">
        <f t="shared" si="4"/>
        <v>404.45</v>
      </c>
      <c r="Y17" s="193">
        <f t="shared" si="4"/>
        <v>28.39</v>
      </c>
      <c r="Z17" s="193">
        <f t="shared" si="4"/>
        <v>38.56</v>
      </c>
      <c r="AA17" s="193">
        <f t="shared" si="4"/>
        <v>88.07</v>
      </c>
    </row>
    <row r="19" spans="2:27" x14ac:dyDescent="0.25"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</row>
    <row r="20" spans="2:27" x14ac:dyDescent="0.25">
      <c r="B20" s="186" t="s">
        <v>184</v>
      </c>
      <c r="C20" s="173"/>
      <c r="D20" s="173"/>
      <c r="E20" s="187">
        <v>745.53</v>
      </c>
      <c r="F20" s="187">
        <v>644.35</v>
      </c>
      <c r="G20" s="187">
        <v>27.26</v>
      </c>
      <c r="H20" s="187">
        <v>23.54</v>
      </c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90">
        <v>97.84</v>
      </c>
      <c r="X20" s="190">
        <v>325.82</v>
      </c>
      <c r="Y20" s="194">
        <v>22.94</v>
      </c>
      <c r="Z20" s="173"/>
      <c r="AA20" s="173"/>
    </row>
    <row r="21" spans="2:27" x14ac:dyDescent="0.25">
      <c r="B21" s="186" t="s">
        <v>183</v>
      </c>
      <c r="C21" s="173"/>
      <c r="D21" s="173"/>
      <c r="E21" s="187">
        <v>620.48</v>
      </c>
      <c r="F21" s="187">
        <v>614.82000000000005</v>
      </c>
      <c r="G21" s="187">
        <v>18.55</v>
      </c>
      <c r="H21" s="187">
        <v>18.37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90">
        <v>64.11</v>
      </c>
      <c r="X21" s="190">
        <v>213.51</v>
      </c>
      <c r="Y21" s="194">
        <v>15.06</v>
      </c>
      <c r="Z21" s="173"/>
      <c r="AA21" s="173"/>
    </row>
    <row r="22" spans="2:27" x14ac:dyDescent="0.25">
      <c r="B22" s="186" t="s">
        <v>182</v>
      </c>
      <c r="C22" s="173"/>
      <c r="D22" s="173"/>
      <c r="E22" s="187">
        <v>567.9</v>
      </c>
      <c r="F22" s="187">
        <v>567.9</v>
      </c>
      <c r="G22" s="187">
        <v>13.96</v>
      </c>
      <c r="H22" s="187">
        <v>13.96</v>
      </c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90">
        <v>50.64</v>
      </c>
      <c r="X22" s="190">
        <v>168.57</v>
      </c>
      <c r="Y22" s="194">
        <v>11.92</v>
      </c>
      <c r="Z22" s="173"/>
      <c r="AA22" s="173"/>
    </row>
  </sheetData>
  <sheetProtection algorithmName="SHA-512" hashValue="xIHlrl2BXvf3pXmwpZWoYcmUoTm2RPrTfFMEFl/I4D77BHjjhKP2Xebns0kO0KVakvJlNjdf/gt45iiJqkNtUw==" saltValue="pT0uWLHqc2oJhPlDoWDMUg==" spinCount="100000" sheet="1" objects="1" scenarios="1" selectLockedCells="1" selectUnlockedCells="1"/>
  <mergeCells count="1">
    <mergeCell ref="W2:Y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topLeftCell="A1048576" workbookViewId="0">
      <selection activeCell="A7" sqref="A1:XFD1048576"/>
    </sheetView>
  </sheetViews>
  <sheetFormatPr baseColWidth="10" defaultRowHeight="11.25" zeroHeight="1" x14ac:dyDescent="0.2"/>
  <cols>
    <col min="1" max="1" width="3.28515625" style="68" customWidth="1"/>
    <col min="2" max="2" width="3.28515625" style="68" bestFit="1" customWidth="1"/>
    <col min="3" max="3" width="40.7109375" style="68" bestFit="1" customWidth="1"/>
    <col min="4" max="4" width="13.85546875" style="68" customWidth="1"/>
    <col min="5" max="5" width="7.42578125" style="68" bestFit="1" customWidth="1"/>
    <col min="6" max="6" width="28.28515625" style="68" customWidth="1"/>
    <col min="7" max="7" width="9.85546875" style="68" customWidth="1"/>
    <col min="8" max="8" width="13.42578125" style="68" customWidth="1"/>
    <col min="9" max="9" width="14.85546875" style="68" customWidth="1"/>
    <col min="10" max="11" width="13.5703125" style="68" bestFit="1" customWidth="1"/>
    <col min="12" max="12" width="16.28515625" style="68" customWidth="1"/>
    <col min="13" max="13" width="11.42578125" style="68" bestFit="1" customWidth="1"/>
    <col min="14" max="14" width="10.42578125" style="68" bestFit="1" customWidth="1"/>
    <col min="15" max="15" width="10.140625" style="68" customWidth="1"/>
    <col min="16" max="16384" width="11.42578125" style="68"/>
  </cols>
  <sheetData>
    <row r="2" spans="1:15" hidden="1" x14ac:dyDescent="0.2">
      <c r="C2" s="69"/>
    </row>
    <row r="3" spans="1:15" ht="27.75" hidden="1" customHeight="1" x14ac:dyDescent="0.2">
      <c r="D3" s="70"/>
      <c r="E3" s="70"/>
      <c r="F3" s="70"/>
      <c r="G3" s="70"/>
      <c r="H3" s="71"/>
      <c r="I3" s="71"/>
      <c r="J3" s="71"/>
      <c r="K3" s="71"/>
      <c r="L3" s="71"/>
      <c r="M3" s="72"/>
      <c r="N3" s="72"/>
    </row>
    <row r="4" spans="1:15" ht="12.95" hidden="1" customHeight="1" x14ac:dyDescent="0.2">
      <c r="A4" s="73"/>
      <c r="B4" s="72"/>
      <c r="F4" s="74"/>
      <c r="G4" s="74"/>
      <c r="N4" s="75"/>
    </row>
    <row r="5" spans="1:15" ht="12.95" hidden="1" customHeight="1" x14ac:dyDescent="0.2">
      <c r="B5" s="72"/>
      <c r="F5" s="74"/>
      <c r="G5" s="74"/>
      <c r="N5" s="75"/>
    </row>
    <row r="6" spans="1:15" ht="12.95" hidden="1" customHeight="1" x14ac:dyDescent="0.2">
      <c r="B6" s="72"/>
      <c r="F6" s="74"/>
      <c r="G6" s="74"/>
      <c r="N6" s="75"/>
    </row>
    <row r="7" spans="1:15" ht="12.95" hidden="1" customHeight="1" x14ac:dyDescent="0.2">
      <c r="B7" s="72"/>
      <c r="F7" s="74"/>
      <c r="G7" s="74"/>
      <c r="N7" s="75"/>
    </row>
    <row r="8" spans="1:15" ht="12.95" hidden="1" customHeight="1" x14ac:dyDescent="0.2">
      <c r="B8" s="72"/>
      <c r="F8" s="74"/>
      <c r="G8" s="74"/>
      <c r="N8" s="75"/>
    </row>
    <row r="9" spans="1:15" ht="12.95" hidden="1" customHeight="1" x14ac:dyDescent="0.2">
      <c r="B9" s="72"/>
      <c r="F9" s="74"/>
      <c r="G9" s="74"/>
      <c r="N9" s="75"/>
    </row>
    <row r="10" spans="1:15" ht="12.95" hidden="1" customHeight="1" x14ac:dyDescent="0.2">
      <c r="B10" s="72"/>
      <c r="F10" s="74"/>
      <c r="G10" s="74"/>
      <c r="N10" s="75"/>
    </row>
    <row r="11" spans="1:15" ht="12.95" hidden="1" customHeight="1" x14ac:dyDescent="0.2">
      <c r="B11" s="72"/>
      <c r="C11" s="72"/>
      <c r="F11" s="74"/>
      <c r="G11" s="74"/>
      <c r="N11" s="75"/>
    </row>
    <row r="12" spans="1:15" ht="12.95" hidden="1" customHeight="1" x14ac:dyDescent="0.2">
      <c r="B12" s="72"/>
      <c r="F12" s="74"/>
      <c r="G12" s="74"/>
      <c r="N12" s="75"/>
    </row>
    <row r="13" spans="1:15" ht="12.95" hidden="1" customHeight="1" x14ac:dyDescent="0.2">
      <c r="B13" s="72"/>
      <c r="F13" s="72"/>
      <c r="G13" s="72"/>
    </row>
    <row r="14" spans="1:15" ht="12.95" hidden="1" customHeight="1" x14ac:dyDescent="0.2">
      <c r="B14" s="72"/>
    </row>
    <row r="15" spans="1:15" ht="12.95" hidden="1" customHeight="1" x14ac:dyDescent="0.2">
      <c r="C15" s="72"/>
    </row>
    <row r="16" spans="1:15" ht="45.75" hidden="1" thickBot="1" x14ac:dyDescent="0.25">
      <c r="D16" s="100" t="str">
        <f>+Nómina!AG101</f>
        <v>597-Maestros</v>
      </c>
      <c r="G16" s="98" t="s">
        <v>118</v>
      </c>
      <c r="H16" s="98" t="s">
        <v>113</v>
      </c>
      <c r="I16" s="98" t="s">
        <v>117</v>
      </c>
      <c r="J16" s="98" t="s">
        <v>112</v>
      </c>
      <c r="K16" s="98" t="s">
        <v>114</v>
      </c>
      <c r="L16" s="98" t="s">
        <v>115</v>
      </c>
      <c r="M16" s="98" t="s">
        <v>116</v>
      </c>
      <c r="N16" s="98" t="s">
        <v>111</v>
      </c>
      <c r="O16" s="98" t="s">
        <v>110</v>
      </c>
    </row>
    <row r="17" spans="3:15" ht="12.95" hidden="1" customHeight="1" thickBot="1" x14ac:dyDescent="0.25">
      <c r="C17" s="76" t="s">
        <v>1</v>
      </c>
      <c r="D17" s="99" t="str">
        <f>IF($D$16=$G$16,G17,IF($D$16=H$16,H17,IF($D$16=I$16,I17,IF($D$16=J$16,J17,IF($D$16=K$16,K17,IF($D$16=L$16,L17,IF($D$16=M$16,M17,IF($D$16=N$16,N17,O17))))))))</f>
        <v>A2</v>
      </c>
      <c r="F17" s="68" t="s">
        <v>226</v>
      </c>
      <c r="G17" s="93" t="s">
        <v>121</v>
      </c>
      <c r="H17" s="93" t="s">
        <v>121</v>
      </c>
      <c r="I17" s="93" t="s">
        <v>121</v>
      </c>
      <c r="J17" s="93" t="s">
        <v>79</v>
      </c>
      <c r="K17" s="93" t="s">
        <v>79</v>
      </c>
      <c r="L17" s="93" t="s">
        <v>79</v>
      </c>
      <c r="M17" s="93" t="s">
        <v>79</v>
      </c>
      <c r="N17" s="93" t="s">
        <v>79</v>
      </c>
      <c r="O17" s="93" t="s">
        <v>79</v>
      </c>
    </row>
    <row r="18" spans="3:15" ht="12.95" hidden="1" customHeight="1" x14ac:dyDescent="0.25">
      <c r="C18" s="77" t="s">
        <v>3</v>
      </c>
      <c r="D18" s="81">
        <f>IF($D$16=$G$16,G18,IF($D$16=H$16,H18,IF($D$16=I$16,I18,IF($D$16=J$16,J18,IF($D$16=K$16,K18,IF($D$16=L$16,L18,IF($D$16=M$16,M18,IF($D$16=N$16,N18,O18))))))))</f>
        <v>992.94</v>
      </c>
      <c r="F18" s="94" t="s">
        <v>3</v>
      </c>
      <c r="G18" s="112">
        <f>+Retribuciones!E16</f>
        <v>992.94</v>
      </c>
      <c r="H18" s="157">
        <f>+G18</f>
        <v>992.94</v>
      </c>
      <c r="I18" s="157">
        <f>+H18</f>
        <v>992.94</v>
      </c>
      <c r="J18" s="112">
        <f>+Retribuciones!E13</f>
        <v>1148.3399999999999</v>
      </c>
      <c r="K18" s="157">
        <f>+J18</f>
        <v>1148.3399999999999</v>
      </c>
      <c r="L18" s="157">
        <f>+K18</f>
        <v>1148.3399999999999</v>
      </c>
      <c r="M18" s="157">
        <f t="shared" ref="M18:O18" si="0">+L18</f>
        <v>1148.3399999999999</v>
      </c>
      <c r="N18" s="157">
        <f t="shared" si="0"/>
        <v>1148.3399999999999</v>
      </c>
      <c r="O18" s="157">
        <f t="shared" si="0"/>
        <v>1148.3399999999999</v>
      </c>
    </row>
    <row r="19" spans="3:15" ht="12.95" hidden="1" customHeight="1" x14ac:dyDescent="0.25">
      <c r="C19" s="78" t="s">
        <v>20</v>
      </c>
      <c r="D19" s="83">
        <f t="shared" ref="D19:D36" si="1">IF($D$16=$G$16,G19,IF($D$16=H$16,H19,IF($D$16=I$16,I19,IF($D$16=J$16,J19,IF($D$16=K$16,K19,IF($D$16=L$16,L19,IF($D$16=M$16,M19,IF($D$16=N$16,N19,O19))))))))</f>
        <v>724.16</v>
      </c>
      <c r="F19" s="94" t="s">
        <v>122</v>
      </c>
      <c r="G19" s="112">
        <f>+Retribuciones!F16</f>
        <v>724.16</v>
      </c>
      <c r="H19" s="157">
        <f t="shared" ref="H19:I19" si="2">+G19</f>
        <v>724.16</v>
      </c>
      <c r="I19" s="157">
        <f t="shared" si="2"/>
        <v>724.16</v>
      </c>
      <c r="J19" s="112">
        <f>+Retribuciones!F13</f>
        <v>708.61</v>
      </c>
      <c r="K19" s="157">
        <f t="shared" ref="K19:L19" si="3">+J19</f>
        <v>708.61</v>
      </c>
      <c r="L19" s="157">
        <f t="shared" si="3"/>
        <v>708.61</v>
      </c>
      <c r="M19" s="157">
        <f t="shared" ref="M19:O19" si="4">+L19</f>
        <v>708.61</v>
      </c>
      <c r="N19" s="157">
        <f t="shared" si="4"/>
        <v>708.61</v>
      </c>
      <c r="O19" s="157">
        <f t="shared" si="4"/>
        <v>708.61</v>
      </c>
    </row>
    <row r="20" spans="3:15" ht="12.95" hidden="1" customHeight="1" thickBot="1" x14ac:dyDescent="0.3">
      <c r="C20" s="79" t="s">
        <v>21</v>
      </c>
      <c r="D20" s="83">
        <f t="shared" si="1"/>
        <v>724.16</v>
      </c>
      <c r="F20" s="94"/>
      <c r="G20" s="157">
        <f>+G19</f>
        <v>724.16</v>
      </c>
      <c r="H20" s="157">
        <f t="shared" ref="H20:I20" si="5">+G20</f>
        <v>724.16</v>
      </c>
      <c r="I20" s="157">
        <f t="shared" si="5"/>
        <v>724.16</v>
      </c>
      <c r="J20" s="157">
        <f>+J19</f>
        <v>708.61</v>
      </c>
      <c r="K20" s="157">
        <f t="shared" ref="K20:L20" si="6">+J20</f>
        <v>708.61</v>
      </c>
      <c r="L20" s="157">
        <f t="shared" si="6"/>
        <v>708.61</v>
      </c>
      <c r="M20" s="157">
        <f t="shared" ref="M20:O20" si="7">+L20</f>
        <v>708.61</v>
      </c>
      <c r="N20" s="157">
        <f t="shared" si="7"/>
        <v>708.61</v>
      </c>
      <c r="O20" s="157">
        <f t="shared" si="7"/>
        <v>708.61</v>
      </c>
    </row>
    <row r="21" spans="3:15" ht="12.95" hidden="1" customHeight="1" x14ac:dyDescent="0.25">
      <c r="C21" s="80" t="s">
        <v>4</v>
      </c>
      <c r="D21" s="83">
        <f t="shared" si="1"/>
        <v>36.020000000000003</v>
      </c>
      <c r="E21" s="198">
        <f>INT(+Nómina!C8/3)</f>
        <v>0</v>
      </c>
      <c r="F21" s="94" t="s">
        <v>55</v>
      </c>
      <c r="G21" s="112">
        <f>+Retribuciones!G16</f>
        <v>36.020000000000003</v>
      </c>
      <c r="H21" s="157">
        <f t="shared" ref="H21:I21" si="8">+G21</f>
        <v>36.020000000000003</v>
      </c>
      <c r="I21" s="157">
        <f t="shared" si="8"/>
        <v>36.020000000000003</v>
      </c>
      <c r="J21" s="112">
        <f>+Retribuciones!G13</f>
        <v>44.18</v>
      </c>
      <c r="K21" s="157">
        <f t="shared" ref="K21" si="9">+J21</f>
        <v>44.18</v>
      </c>
      <c r="L21" s="157">
        <f t="shared" ref="L21:O21" si="10">+K21</f>
        <v>44.18</v>
      </c>
      <c r="M21" s="157">
        <f t="shared" si="10"/>
        <v>44.18</v>
      </c>
      <c r="N21" s="157">
        <f t="shared" si="10"/>
        <v>44.18</v>
      </c>
      <c r="O21" s="157">
        <f t="shared" si="10"/>
        <v>44.18</v>
      </c>
    </row>
    <row r="22" spans="3:15" ht="12.95" hidden="1" customHeight="1" x14ac:dyDescent="0.25">
      <c r="C22" s="82" t="s">
        <v>22</v>
      </c>
      <c r="D22" s="83">
        <f t="shared" si="1"/>
        <v>26.26</v>
      </c>
      <c r="F22" s="94" t="s">
        <v>123</v>
      </c>
      <c r="G22" s="112">
        <f>+Retribuciones!H16</f>
        <v>26.26</v>
      </c>
      <c r="H22" s="157">
        <f t="shared" ref="H22:I22" si="11">+G22</f>
        <v>26.26</v>
      </c>
      <c r="I22" s="157">
        <f t="shared" si="11"/>
        <v>26.26</v>
      </c>
      <c r="J22" s="112">
        <f>+Retribuciones!H13</f>
        <v>27.26</v>
      </c>
      <c r="K22" s="157">
        <f t="shared" ref="K22" si="12">+J22</f>
        <v>27.26</v>
      </c>
      <c r="L22" s="157">
        <f t="shared" ref="L22:O22" si="13">+K22</f>
        <v>27.26</v>
      </c>
      <c r="M22" s="157">
        <f t="shared" si="13"/>
        <v>27.26</v>
      </c>
      <c r="N22" s="157">
        <f t="shared" si="13"/>
        <v>27.26</v>
      </c>
      <c r="O22" s="157">
        <f t="shared" si="13"/>
        <v>27.26</v>
      </c>
    </row>
    <row r="23" spans="3:15" ht="12.95" hidden="1" customHeight="1" thickBot="1" x14ac:dyDescent="0.3">
      <c r="C23" s="84" t="s">
        <v>23</v>
      </c>
      <c r="D23" s="83">
        <f t="shared" si="1"/>
        <v>26.26</v>
      </c>
      <c r="F23" s="94"/>
      <c r="G23" s="157">
        <f>+G22</f>
        <v>26.26</v>
      </c>
      <c r="H23" s="157">
        <f t="shared" ref="H23:I23" si="14">+G23</f>
        <v>26.26</v>
      </c>
      <c r="I23" s="157">
        <f t="shared" si="14"/>
        <v>26.26</v>
      </c>
      <c r="J23" s="157">
        <f>+J22</f>
        <v>27.26</v>
      </c>
      <c r="K23" s="157">
        <f t="shared" ref="K23" si="15">+J23</f>
        <v>27.26</v>
      </c>
      <c r="L23" s="157">
        <f t="shared" ref="L23:O23" si="16">+K23</f>
        <v>27.26</v>
      </c>
      <c r="M23" s="157">
        <f t="shared" si="16"/>
        <v>27.26</v>
      </c>
      <c r="N23" s="157">
        <f t="shared" si="16"/>
        <v>27.26</v>
      </c>
      <c r="O23" s="157">
        <f t="shared" si="16"/>
        <v>27.26</v>
      </c>
    </row>
    <row r="24" spans="3:15" ht="12.95" hidden="1" customHeight="1" x14ac:dyDescent="0.2">
      <c r="C24" s="85" t="s">
        <v>18</v>
      </c>
      <c r="D24" s="83">
        <f t="shared" si="1"/>
        <v>0</v>
      </c>
      <c r="F24" s="94" t="s">
        <v>148</v>
      </c>
      <c r="G24" s="74"/>
      <c r="H24" s="74"/>
      <c r="I24" s="74"/>
      <c r="J24" s="74"/>
      <c r="K24" s="74"/>
      <c r="L24" s="74"/>
      <c r="M24" s="74"/>
      <c r="N24" s="74"/>
      <c r="O24" s="74"/>
    </row>
    <row r="25" spans="3:15" ht="12.95" hidden="1" customHeight="1" thickBot="1" x14ac:dyDescent="0.25">
      <c r="C25" s="86" t="s">
        <v>19</v>
      </c>
      <c r="D25" s="83">
        <f t="shared" si="1"/>
        <v>37.362599206349209</v>
      </c>
      <c r="F25" s="94"/>
      <c r="G25" s="74">
        <f>+G26/20.16</f>
        <v>37.362599206349209</v>
      </c>
      <c r="H25" s="74">
        <f t="shared" ref="H25:O25" si="17">+H26/20.16</f>
        <v>31.656822916666666</v>
      </c>
      <c r="I25" s="74">
        <f t="shared" si="17"/>
        <v>31.656822916666666</v>
      </c>
      <c r="J25" s="74">
        <f t="shared" si="17"/>
        <v>31.561163194444443</v>
      </c>
      <c r="K25" s="74">
        <f t="shared" si="17"/>
        <v>31.561163194444443</v>
      </c>
      <c r="L25" s="74">
        <f t="shared" si="17"/>
        <v>31.561163194444443</v>
      </c>
      <c r="M25" s="74">
        <f t="shared" si="17"/>
        <v>31.561163194444443</v>
      </c>
      <c r="N25" s="74">
        <f t="shared" si="17"/>
        <v>34.041770833333331</v>
      </c>
      <c r="O25" s="74">
        <f t="shared" si="17"/>
        <v>70.975989583333345</v>
      </c>
    </row>
    <row r="26" spans="3:15" ht="12.95" hidden="1" customHeight="1" thickBot="1" x14ac:dyDescent="0.3">
      <c r="C26" s="87" t="s">
        <v>6</v>
      </c>
      <c r="D26" s="83">
        <f t="shared" si="1"/>
        <v>753.23</v>
      </c>
      <c r="F26" s="95" t="s">
        <v>6</v>
      </c>
      <c r="G26" s="112">
        <f>+Retribuciones!K16</f>
        <v>753.23</v>
      </c>
      <c r="H26" s="112">
        <f>+Retribuciones!K15</f>
        <v>638.20155</v>
      </c>
      <c r="I26" s="157">
        <f t="shared" ref="I26" si="18">+H26</f>
        <v>638.20155</v>
      </c>
      <c r="J26" s="112">
        <f>+Retribuciones!K13</f>
        <v>636.27305000000001</v>
      </c>
      <c r="K26" s="157">
        <f t="shared" ref="K26:M26" si="19">+J26</f>
        <v>636.27305000000001</v>
      </c>
      <c r="L26" s="157">
        <f t="shared" si="19"/>
        <v>636.27305000000001</v>
      </c>
      <c r="M26" s="157">
        <f t="shared" si="19"/>
        <v>636.27305000000001</v>
      </c>
      <c r="N26" s="112">
        <f>+Retribuciones!K9</f>
        <v>686.28210000000001</v>
      </c>
      <c r="O26" s="112">
        <f>+Retribuciones!K8</f>
        <v>1430.8759500000001</v>
      </c>
    </row>
    <row r="27" spans="3:15" ht="12.95" hidden="1" customHeight="1" thickBot="1" x14ac:dyDescent="0.3">
      <c r="C27" s="87" t="s">
        <v>227</v>
      </c>
      <c r="D27" s="83">
        <f>+D26*78%</f>
        <v>587.51940000000002</v>
      </c>
      <c r="F27" s="95"/>
      <c r="G27" s="112"/>
      <c r="H27" s="112"/>
      <c r="I27" s="157"/>
      <c r="J27" s="112"/>
      <c r="K27" s="157"/>
      <c r="L27" s="157"/>
      <c r="M27" s="157"/>
      <c r="N27" s="112"/>
      <c r="O27" s="112"/>
    </row>
    <row r="28" spans="3:15" ht="12.95" hidden="1" customHeight="1" thickBot="1" x14ac:dyDescent="0.25">
      <c r="C28" s="88" t="s">
        <v>0</v>
      </c>
      <c r="D28" s="83">
        <f t="shared" si="1"/>
        <v>21</v>
      </c>
      <c r="F28" s="96"/>
      <c r="G28" s="68">
        <v>21</v>
      </c>
      <c r="H28" s="68">
        <v>24</v>
      </c>
      <c r="I28" s="68">
        <v>24</v>
      </c>
      <c r="J28" s="68">
        <v>24</v>
      </c>
      <c r="K28" s="68">
        <v>24</v>
      </c>
      <c r="L28" s="68">
        <v>24</v>
      </c>
      <c r="M28" s="68">
        <v>24</v>
      </c>
      <c r="N28" s="68">
        <v>26</v>
      </c>
      <c r="O28" s="68">
        <v>26</v>
      </c>
    </row>
    <row r="29" spans="3:15" ht="12.95" hidden="1" customHeight="1" thickBot="1" x14ac:dyDescent="0.3">
      <c r="C29" s="89" t="s">
        <v>5</v>
      </c>
      <c r="D29" s="83">
        <f t="shared" si="1"/>
        <v>496.88</v>
      </c>
      <c r="F29" s="95" t="s">
        <v>124</v>
      </c>
      <c r="G29" s="112">
        <f>+Retribuciones!I16</f>
        <v>496.88</v>
      </c>
      <c r="H29" s="112">
        <f>+Retribuciones!I15</f>
        <v>611.9</v>
      </c>
      <c r="I29" s="157">
        <f>+H29</f>
        <v>611.9</v>
      </c>
      <c r="J29" s="157">
        <f t="shared" ref="J29:O29" si="20">+I29</f>
        <v>611.9</v>
      </c>
      <c r="K29" s="157">
        <f t="shared" si="20"/>
        <v>611.9</v>
      </c>
      <c r="L29" s="157">
        <f t="shared" si="20"/>
        <v>611.9</v>
      </c>
      <c r="M29" s="157">
        <f t="shared" si="20"/>
        <v>611.9</v>
      </c>
      <c r="N29" s="112">
        <f>+Retribuciones!I9</f>
        <v>732.9</v>
      </c>
      <c r="O29" s="157">
        <f t="shared" si="20"/>
        <v>732.9</v>
      </c>
    </row>
    <row r="30" spans="3:15" ht="12.95" hidden="1" customHeight="1" thickBot="1" x14ac:dyDescent="0.3">
      <c r="C30" s="89" t="s">
        <v>228</v>
      </c>
      <c r="D30" s="83">
        <f>+D29</f>
        <v>496.88</v>
      </c>
      <c r="F30" s="95"/>
      <c r="G30" s="112"/>
      <c r="H30" s="112"/>
      <c r="I30" s="157"/>
      <c r="J30" s="157"/>
      <c r="K30" s="157"/>
      <c r="L30" s="157"/>
      <c r="M30" s="157"/>
      <c r="N30" s="112"/>
      <c r="O30" s="157"/>
    </row>
    <row r="31" spans="3:15" ht="12.95" hidden="1" customHeight="1" thickBot="1" x14ac:dyDescent="0.25">
      <c r="C31" s="90" t="s">
        <v>2</v>
      </c>
      <c r="D31" s="83">
        <f t="shared" si="1"/>
        <v>0</v>
      </c>
      <c r="F31" s="96"/>
      <c r="J31" s="68">
        <v>4</v>
      </c>
      <c r="K31" s="68">
        <v>4</v>
      </c>
      <c r="L31" s="68">
        <v>4</v>
      </c>
      <c r="M31" s="68">
        <v>4</v>
      </c>
      <c r="N31" s="68">
        <v>4.5</v>
      </c>
      <c r="O31" s="68">
        <v>5</v>
      </c>
    </row>
    <row r="32" spans="3:15" ht="12.95" hidden="1" customHeight="1" x14ac:dyDescent="0.25">
      <c r="C32" s="91" t="s">
        <v>7</v>
      </c>
      <c r="D32" s="83">
        <f t="shared" si="1"/>
        <v>121.42</v>
      </c>
      <c r="F32" s="95" t="s">
        <v>7</v>
      </c>
      <c r="G32" s="158">
        <f>+Retribuciones!W16</f>
        <v>121.42</v>
      </c>
      <c r="H32" s="159">
        <f t="shared" ref="H32:I32" si="21">+G32</f>
        <v>121.42</v>
      </c>
      <c r="I32" s="159">
        <f t="shared" si="21"/>
        <v>121.42</v>
      </c>
      <c r="J32" s="158">
        <f>+Retribuciones!W13</f>
        <v>134.88</v>
      </c>
      <c r="K32" s="159">
        <f t="shared" ref="K32:M32" si="22">+J32</f>
        <v>134.88</v>
      </c>
      <c r="L32" s="159">
        <f t="shared" si="22"/>
        <v>134.88</v>
      </c>
      <c r="M32" s="159">
        <f t="shared" si="22"/>
        <v>134.88</v>
      </c>
      <c r="N32" s="160">
        <f>+Retribuciones!W9</f>
        <v>151.75</v>
      </c>
      <c r="O32" s="158">
        <f>+Retribuciones!W8</f>
        <v>168.56</v>
      </c>
    </row>
    <row r="33" spans="3:15" ht="12.95" hidden="1" customHeight="1" x14ac:dyDescent="0.25">
      <c r="C33" s="91" t="s">
        <v>8</v>
      </c>
      <c r="D33" s="83">
        <f t="shared" si="1"/>
        <v>404.45</v>
      </c>
      <c r="E33" s="199" t="str">
        <f>+Nómina!C11</f>
        <v>N</v>
      </c>
      <c r="F33" s="95" t="s">
        <v>8</v>
      </c>
      <c r="G33" s="158">
        <f>+Retribuciones!X16</f>
        <v>404.45</v>
      </c>
      <c r="H33" s="159">
        <f t="shared" ref="H33:I33" si="23">+G33</f>
        <v>404.45</v>
      </c>
      <c r="I33" s="159">
        <f t="shared" si="23"/>
        <v>404.45</v>
      </c>
      <c r="J33" s="158">
        <f>+Retribuciones!X13</f>
        <v>449.37</v>
      </c>
      <c r="K33" s="159">
        <f t="shared" ref="K33:M33" si="24">+J33</f>
        <v>449.37</v>
      </c>
      <c r="L33" s="159">
        <f t="shared" si="24"/>
        <v>449.37</v>
      </c>
      <c r="M33" s="159">
        <f t="shared" si="24"/>
        <v>449.37</v>
      </c>
      <c r="N33" s="158">
        <f>+Retribuciones!X9</f>
        <v>505.56</v>
      </c>
      <c r="O33" s="158">
        <f>+Retribuciones!X8</f>
        <v>561.73</v>
      </c>
    </row>
    <row r="34" spans="3:15" ht="12.95" hidden="1" customHeight="1" thickBot="1" x14ac:dyDescent="0.3">
      <c r="C34" s="92" t="s">
        <v>9</v>
      </c>
      <c r="D34" s="83">
        <f t="shared" si="1"/>
        <v>28.39</v>
      </c>
      <c r="F34" s="95" t="s">
        <v>9</v>
      </c>
      <c r="G34" s="158">
        <f>+Retribuciones!Y16</f>
        <v>28.39</v>
      </c>
      <c r="H34" s="159">
        <f t="shared" ref="H34:I34" si="25">+G34</f>
        <v>28.39</v>
      </c>
      <c r="I34" s="159">
        <f t="shared" si="25"/>
        <v>28.39</v>
      </c>
      <c r="J34" s="158">
        <f>+Retribuciones!Y13</f>
        <v>31.59</v>
      </c>
      <c r="K34" s="159">
        <f t="shared" ref="K34:M34" si="26">+J34</f>
        <v>31.59</v>
      </c>
      <c r="L34" s="159">
        <f t="shared" si="26"/>
        <v>31.59</v>
      </c>
      <c r="M34" s="159">
        <f t="shared" si="26"/>
        <v>31.59</v>
      </c>
      <c r="N34" s="158">
        <f>+Retribuciones!Y9</f>
        <v>35.47</v>
      </c>
      <c r="O34" s="158">
        <f>+Retribuciones!Y8</f>
        <v>39.43</v>
      </c>
    </row>
    <row r="35" spans="3:15" ht="12.95" hidden="1" customHeight="1" x14ac:dyDescent="0.25">
      <c r="C35" s="68" t="s">
        <v>17</v>
      </c>
      <c r="D35" s="83">
        <f t="shared" si="1"/>
        <v>38.56</v>
      </c>
      <c r="F35" s="97" t="s">
        <v>17</v>
      </c>
      <c r="G35" s="161">
        <f>+Retribuciones!Z16</f>
        <v>38.56</v>
      </c>
      <c r="H35" s="159">
        <f t="shared" ref="H35:I35" si="27">+G35</f>
        <v>38.56</v>
      </c>
      <c r="I35" s="159">
        <f t="shared" si="27"/>
        <v>38.56</v>
      </c>
      <c r="J35" s="161">
        <f>+Retribuciones!Z13</f>
        <v>48.99</v>
      </c>
      <c r="K35" s="159">
        <f t="shared" ref="K35:M35" si="28">+J35</f>
        <v>48.99</v>
      </c>
      <c r="L35" s="159">
        <f t="shared" si="28"/>
        <v>48.99</v>
      </c>
      <c r="M35" s="159">
        <f t="shared" si="28"/>
        <v>48.99</v>
      </c>
      <c r="N35" s="159">
        <f t="shared" ref="N35:O35" si="29">+M35</f>
        <v>48.99</v>
      </c>
      <c r="O35" s="159">
        <f t="shared" si="29"/>
        <v>48.99</v>
      </c>
    </row>
    <row r="36" spans="3:15" ht="12.95" hidden="1" customHeight="1" x14ac:dyDescent="0.25">
      <c r="C36" s="68" t="s">
        <v>64</v>
      </c>
      <c r="D36" s="83">
        <f t="shared" si="1"/>
        <v>88.07</v>
      </c>
      <c r="F36" s="97" t="s">
        <v>64</v>
      </c>
      <c r="G36" s="161">
        <f>+Retribuciones!AA16</f>
        <v>88.07</v>
      </c>
      <c r="H36" s="159">
        <f t="shared" ref="H36:I36" si="30">+G36</f>
        <v>88.07</v>
      </c>
      <c r="I36" s="159">
        <f t="shared" si="30"/>
        <v>88.07</v>
      </c>
      <c r="J36" s="161">
        <f>+Retribuciones!AA13</f>
        <v>111.9</v>
      </c>
      <c r="K36" s="159">
        <f t="shared" ref="K36:M36" si="31">+J36</f>
        <v>111.9</v>
      </c>
      <c r="L36" s="159">
        <f t="shared" si="31"/>
        <v>111.9</v>
      </c>
      <c r="M36" s="159">
        <f t="shared" si="31"/>
        <v>111.9</v>
      </c>
      <c r="N36" s="159">
        <f t="shared" ref="N36:O36" si="32">+M36</f>
        <v>111.9</v>
      </c>
      <c r="O36" s="159">
        <f t="shared" si="32"/>
        <v>111.9</v>
      </c>
    </row>
    <row r="37" spans="3:15" ht="12.95" hidden="1" customHeight="1" x14ac:dyDescent="0.25">
      <c r="D37" s="196">
        <f>(+(+D18+(D21*E21)+D26+D29+(IF(E33="N",D32,D33+(D34*E21)))+D39)*12)+((D19+D27+D30+(D22*E21)+D40)*2)</f>
        <v>31990.758800000003</v>
      </c>
      <c r="F37" s="197"/>
      <c r="G37" s="161"/>
      <c r="H37" s="159"/>
      <c r="I37" s="159"/>
      <c r="J37" s="161"/>
      <c r="K37" s="159"/>
      <c r="L37" s="159"/>
      <c r="M37" s="159"/>
      <c r="N37" s="159"/>
      <c r="O37" s="159"/>
    </row>
    <row r="38" spans="3:15" ht="12.95" hidden="1" customHeight="1" x14ac:dyDescent="0.25">
      <c r="D38" s="196"/>
      <c r="F38" s="197"/>
      <c r="G38" s="161"/>
      <c r="H38" s="159"/>
      <c r="I38" s="159"/>
      <c r="J38" s="161"/>
      <c r="K38" s="159"/>
      <c r="L38" s="159"/>
      <c r="M38" s="159"/>
      <c r="N38" s="159"/>
      <c r="O38" s="159"/>
    </row>
    <row r="39" spans="3:15" ht="12.95" hidden="1" customHeight="1" x14ac:dyDescent="0.2">
      <c r="C39" s="68" t="s">
        <v>225</v>
      </c>
      <c r="D39" s="200">
        <f>IF(E39=1,Retribuciones!M8,IF(E39=2,Retribuciones!O8,IF(E39=3,Retribuciones!Q8,IF(E39=4,Retribuciones!S8,IF(E39&gt;4,Retribuciones!U8,0)))))</f>
        <v>0</v>
      </c>
      <c r="E39" s="200">
        <f>INT(+Nómina!C8/6)</f>
        <v>0</v>
      </c>
    </row>
    <row r="40" spans="3:15" hidden="1" x14ac:dyDescent="0.2">
      <c r="C40" s="68" t="s">
        <v>229</v>
      </c>
      <c r="D40" s="200">
        <f>+D39*78%</f>
        <v>0</v>
      </c>
    </row>
    <row r="41" spans="3:15" hidden="1" x14ac:dyDescent="0.2">
      <c r="D41" s="200">
        <f>(+D40/118)*2</f>
        <v>0</v>
      </c>
    </row>
    <row r="42" spans="3:15" hidden="1" x14ac:dyDescent="0.2">
      <c r="E42" s="200"/>
    </row>
    <row r="43" spans="3:15" hidden="1" x14ac:dyDescent="0.2">
      <c r="E43" s="200"/>
    </row>
    <row r="44" spans="3:15" hidden="1" x14ac:dyDescent="0.2">
      <c r="C44" s="68" t="s">
        <v>60</v>
      </c>
      <c r="D44" s="68" t="s">
        <v>231</v>
      </c>
      <c r="E44" s="200"/>
    </row>
    <row r="45" spans="3:15" hidden="1" x14ac:dyDescent="0.2">
      <c r="D45" s="201"/>
      <c r="E45" s="201"/>
      <c r="F45" s="201"/>
    </row>
    <row r="46" spans="3:15" hidden="1" x14ac:dyDescent="0.2">
      <c r="D46" s="201">
        <f>((+D20+(D23*E21)+D30)/6)*3</f>
        <v>610.52</v>
      </c>
      <c r="E46" s="201">
        <f>+(D46/90)*(Nómina!C6-30)</f>
        <v>-189.93955555555556</v>
      </c>
      <c r="F46" s="201">
        <f>+(E46/88)*Nómina!C5</f>
        <v>-4.3168080808080811</v>
      </c>
    </row>
    <row r="47" spans="3:15" hidden="1" x14ac:dyDescent="0.2">
      <c r="D47" s="201">
        <f>+((D27+D40)/6)*4</f>
        <v>391.67959999999999</v>
      </c>
      <c r="E47" s="201">
        <f>+(D47/120)*Nómina!C6</f>
        <v>6.5279933333333329</v>
      </c>
      <c r="F47" s="201">
        <f>+(E47/118)*Nómina!C5</f>
        <v>0.11064395480225987</v>
      </c>
    </row>
    <row r="48" spans="3:15" hidden="1" x14ac:dyDescent="0.2">
      <c r="D48" s="201"/>
      <c r="E48" s="201"/>
      <c r="F48" s="201">
        <f>+F46+F47</f>
        <v>-4.2061641260058211</v>
      </c>
    </row>
  </sheetData>
  <sheetProtection algorithmName="SHA-512" hashValue="2KVHBGDZ+q9nWUWO1uj057luyirCidV7B/hetmyHqf3fyUrTsNv52lO8LQ23VSTiZNR9sf0z+R6Ru9h7A1sNKQ==" saltValue="xOWjHS2N899sBw2YOe7uu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50"/>
  <sheetViews>
    <sheetView topLeftCell="A1048576" workbookViewId="0">
      <selection sqref="A1:XFD1048576"/>
    </sheetView>
  </sheetViews>
  <sheetFormatPr baseColWidth="10" defaultRowHeight="15" zeroHeight="1" x14ac:dyDescent="0.25"/>
  <cols>
    <col min="2" max="2" width="6" bestFit="1" customWidth="1"/>
    <col min="3" max="3" width="4.85546875" bestFit="1" customWidth="1"/>
    <col min="4" max="4" width="42.42578125" bestFit="1" customWidth="1"/>
    <col min="5" max="5" width="6.7109375" bestFit="1" customWidth="1"/>
    <col min="6" max="6" width="7.42578125" bestFit="1" customWidth="1"/>
    <col min="7" max="7" width="6.7109375" bestFit="1" customWidth="1"/>
    <col min="8" max="8" width="9.140625" customWidth="1"/>
    <col min="14" max="14" width="8.85546875" bestFit="1" customWidth="1"/>
    <col min="15" max="15" width="7.42578125" bestFit="1" customWidth="1"/>
  </cols>
  <sheetData>
    <row r="2" spans="2:22" hidden="1" x14ac:dyDescent="0.25">
      <c r="D2" t="s">
        <v>196</v>
      </c>
      <c r="E2" s="168">
        <f>+Nómina!C8</f>
        <v>2</v>
      </c>
    </row>
    <row r="3" spans="2:22" hidden="1" x14ac:dyDescent="0.25">
      <c r="D3" t="s">
        <v>197</v>
      </c>
      <c r="E3" s="169" t="str">
        <f>+Nómina!C11</f>
        <v>N</v>
      </c>
    </row>
    <row r="4" spans="2:22" hidden="1" x14ac:dyDescent="0.25"/>
    <row r="5" spans="2:22" hidden="1" x14ac:dyDescent="0.25"/>
    <row r="6" spans="2:22" hidden="1" x14ac:dyDescent="0.25"/>
    <row r="7" spans="2:22" ht="18.75" hidden="1" x14ac:dyDescent="0.3">
      <c r="B7" s="262" t="s">
        <v>195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</row>
    <row r="8" spans="2:22" ht="60" hidden="1" x14ac:dyDescent="0.25">
      <c r="B8" s="152" t="s">
        <v>1</v>
      </c>
      <c r="C8" s="152" t="s">
        <v>0</v>
      </c>
      <c r="D8" s="152" t="s">
        <v>181</v>
      </c>
      <c r="E8" s="153" t="s">
        <v>3</v>
      </c>
      <c r="F8" s="153" t="s">
        <v>55</v>
      </c>
      <c r="G8" s="153" t="s">
        <v>187</v>
      </c>
      <c r="H8" s="153" t="s">
        <v>123</v>
      </c>
      <c r="I8" s="154" t="s">
        <v>6</v>
      </c>
      <c r="J8" s="154" t="s">
        <v>124</v>
      </c>
      <c r="K8" s="154" t="s">
        <v>7</v>
      </c>
      <c r="L8" s="154" t="s">
        <v>8</v>
      </c>
      <c r="M8" s="154" t="s">
        <v>9</v>
      </c>
      <c r="N8" s="152" t="s">
        <v>17</v>
      </c>
      <c r="O8" s="153" t="s">
        <v>64</v>
      </c>
      <c r="P8" s="162" t="s">
        <v>198</v>
      </c>
      <c r="Q8" s="162" t="s">
        <v>199</v>
      </c>
    </row>
    <row r="9" spans="2:22" hidden="1" x14ac:dyDescent="0.25">
      <c r="B9" s="144" t="s">
        <v>121</v>
      </c>
      <c r="C9" s="144">
        <v>21</v>
      </c>
      <c r="D9" s="170" t="s">
        <v>118</v>
      </c>
      <c r="E9" s="143">
        <v>9.6899999999999409</v>
      </c>
      <c r="F9" s="143">
        <v>0.35999999999999943</v>
      </c>
      <c r="G9" s="143">
        <v>7.07000000000005</v>
      </c>
      <c r="H9" s="143">
        <v>0.25609999999999999</v>
      </c>
      <c r="I9" s="143">
        <v>6.6100000000000136</v>
      </c>
      <c r="J9" s="143">
        <v>4.8499999999999659</v>
      </c>
      <c r="K9" s="143">
        <v>1.1799999999999926</v>
      </c>
      <c r="L9" s="143">
        <v>3.9500000000000455</v>
      </c>
      <c r="M9" s="143">
        <v>0.28000000000000114</v>
      </c>
      <c r="N9" s="143">
        <v>-9.0000000000003411E-2</v>
      </c>
      <c r="O9" s="143">
        <v>-0.22000000000001307</v>
      </c>
      <c r="P9" s="163">
        <f>+E9+I9+J9+(F9*(INT(E$2/3)))+IF(E$3="S",L9+(+M9*(INT(E$2/3))),K9)</f>
        <v>22.329999999999913</v>
      </c>
      <c r="Q9" s="163">
        <f>+P9*12+(G9*2)+(I9*0.78)+J9+(F9*(INT(E$2/3)))</f>
        <v>292.10579999999902</v>
      </c>
      <c r="U9">
        <v>0</v>
      </c>
      <c r="V9" t="s">
        <v>58</v>
      </c>
    </row>
    <row r="10" spans="2:22" hidden="1" x14ac:dyDescent="0.25">
      <c r="B10" s="144" t="s">
        <v>121</v>
      </c>
      <c r="C10" s="144">
        <v>24</v>
      </c>
      <c r="D10" s="170" t="s">
        <v>113</v>
      </c>
      <c r="E10" s="143">
        <v>9.6899999999999409</v>
      </c>
      <c r="F10" s="143">
        <v>0.35999999999999943</v>
      </c>
      <c r="G10" s="143">
        <v>7.07000000000005</v>
      </c>
      <c r="H10" s="143">
        <v>0.25609999999999999</v>
      </c>
      <c r="I10" s="143">
        <v>6.2300000000000182</v>
      </c>
      <c r="J10" s="143">
        <v>5.9700000000000273</v>
      </c>
      <c r="K10" s="143">
        <v>1.1799999999999926</v>
      </c>
      <c r="L10" s="143">
        <v>3.9500000000000455</v>
      </c>
      <c r="M10" s="143">
        <v>0.28000000000000114</v>
      </c>
      <c r="N10" s="143">
        <v>-9.0000000000003411E-2</v>
      </c>
      <c r="O10" s="143">
        <v>-0.22000000000001307</v>
      </c>
      <c r="P10" s="163">
        <f t="shared" ref="P10:P17" si="0">+E10+I10+J10+(F10*(INT(E$2/3)))+IF(E$3="S",L10+(+M10*(INT(E$2/3))),K10)</f>
        <v>23.069999999999979</v>
      </c>
      <c r="Q10" s="163">
        <f t="shared" ref="Q10:Q17" si="1">+P10*12+(G10*2)+(I10*0.78)+J10+(F10*(INT(E$2/3)))</f>
        <v>301.80939999999987</v>
      </c>
      <c r="U10">
        <v>1</v>
      </c>
      <c r="V10" t="s">
        <v>53</v>
      </c>
    </row>
    <row r="11" spans="2:22" hidden="1" x14ac:dyDescent="0.25">
      <c r="B11" s="144" t="s">
        <v>121</v>
      </c>
      <c r="C11" s="144">
        <v>24</v>
      </c>
      <c r="D11" s="170" t="s">
        <v>117</v>
      </c>
      <c r="E11" s="143">
        <v>9.6899999999999409</v>
      </c>
      <c r="F11" s="143">
        <v>0.35999999999999943</v>
      </c>
      <c r="G11" s="143">
        <v>7.07000000000005</v>
      </c>
      <c r="H11" s="143">
        <v>0.25609999999999999</v>
      </c>
      <c r="I11" s="143">
        <v>6.2300000000000182</v>
      </c>
      <c r="J11" s="143">
        <v>5.9700000000000273</v>
      </c>
      <c r="K11" s="143">
        <v>1.1799999999999926</v>
      </c>
      <c r="L11" s="143">
        <v>3.9500000000000455</v>
      </c>
      <c r="M11" s="143">
        <v>0.28000000000000114</v>
      </c>
      <c r="N11" s="143">
        <v>-9.0000000000003411E-2</v>
      </c>
      <c r="O11" s="143">
        <v>-0.22000000000001307</v>
      </c>
      <c r="P11" s="163">
        <f t="shared" si="0"/>
        <v>23.069999999999979</v>
      </c>
      <c r="Q11" s="163">
        <f t="shared" si="1"/>
        <v>301.80939999999987</v>
      </c>
      <c r="U11">
        <v>2</v>
      </c>
    </row>
    <row r="12" spans="2:22" hidden="1" x14ac:dyDescent="0.25">
      <c r="B12" s="144" t="s">
        <v>79</v>
      </c>
      <c r="C12" s="144">
        <v>24</v>
      </c>
      <c r="D12" s="170" t="s">
        <v>112</v>
      </c>
      <c r="E12" s="143">
        <v>11.209999999999809</v>
      </c>
      <c r="F12" s="143">
        <v>0.44000000000000483</v>
      </c>
      <c r="G12" s="143">
        <v>6.9199999999999591</v>
      </c>
      <c r="H12" s="143">
        <v>0.2657999999999987</v>
      </c>
      <c r="I12" s="143">
        <v>6.2100000000000364</v>
      </c>
      <c r="J12" s="143">
        <v>5.9700000000000273</v>
      </c>
      <c r="K12" s="143">
        <v>1.3199999999999932</v>
      </c>
      <c r="L12" s="143">
        <v>4.3799999999999955</v>
      </c>
      <c r="M12" s="143">
        <v>0.31000000000000227</v>
      </c>
      <c r="N12" s="143">
        <v>-0.11999999999999744</v>
      </c>
      <c r="O12" s="143">
        <v>-0.28000000000000114</v>
      </c>
      <c r="P12" s="163">
        <f t="shared" si="0"/>
        <v>24.709999999999866</v>
      </c>
      <c r="Q12" s="163">
        <f t="shared" si="1"/>
        <v>321.17379999999838</v>
      </c>
      <c r="U12">
        <v>3</v>
      </c>
    </row>
    <row r="13" spans="2:22" hidden="1" x14ac:dyDescent="0.25">
      <c r="B13" s="144" t="s">
        <v>79</v>
      </c>
      <c r="C13" s="144">
        <v>24</v>
      </c>
      <c r="D13" s="170" t="s">
        <v>114</v>
      </c>
      <c r="E13" s="143">
        <v>11.209999999999809</v>
      </c>
      <c r="F13" s="143">
        <v>0.44000000000000483</v>
      </c>
      <c r="G13" s="143">
        <v>6.9199999999999591</v>
      </c>
      <c r="H13" s="143">
        <v>0.2657999999999987</v>
      </c>
      <c r="I13" s="143">
        <v>6.2100000000000364</v>
      </c>
      <c r="J13" s="143">
        <v>5.9700000000000273</v>
      </c>
      <c r="K13" s="143">
        <v>1.3199999999999932</v>
      </c>
      <c r="L13" s="143">
        <v>4.3799999999999955</v>
      </c>
      <c r="M13" s="143">
        <v>0.31000000000000227</v>
      </c>
      <c r="N13" s="143">
        <v>-0.11999999999999744</v>
      </c>
      <c r="O13" s="143">
        <v>-0.28000000000000114</v>
      </c>
      <c r="P13" s="163">
        <f t="shared" si="0"/>
        <v>24.709999999999866</v>
      </c>
      <c r="Q13" s="163">
        <f t="shared" si="1"/>
        <v>321.17379999999838</v>
      </c>
      <c r="U13">
        <v>4</v>
      </c>
    </row>
    <row r="14" spans="2:22" hidden="1" x14ac:dyDescent="0.25">
      <c r="B14" s="144" t="s">
        <v>79</v>
      </c>
      <c r="C14" s="144">
        <v>24</v>
      </c>
      <c r="D14" s="170" t="s">
        <v>115</v>
      </c>
      <c r="E14" s="143">
        <v>11.209999999999809</v>
      </c>
      <c r="F14" s="143">
        <v>0.44000000000000483</v>
      </c>
      <c r="G14" s="143">
        <v>6.9199999999999591</v>
      </c>
      <c r="H14" s="143">
        <v>0.2657999999999987</v>
      </c>
      <c r="I14" s="143">
        <v>6.2100000000000364</v>
      </c>
      <c r="J14" s="143">
        <v>5.9700000000000273</v>
      </c>
      <c r="K14" s="143">
        <v>1.3199999999999932</v>
      </c>
      <c r="L14" s="143">
        <v>4.3799999999999955</v>
      </c>
      <c r="M14" s="143">
        <v>0.31000000000000227</v>
      </c>
      <c r="N14" s="143">
        <v>-0.11999999999999744</v>
      </c>
      <c r="O14" s="143">
        <v>-0.28000000000000114</v>
      </c>
      <c r="P14" s="163">
        <f t="shared" si="0"/>
        <v>24.709999999999866</v>
      </c>
      <c r="Q14" s="163">
        <f t="shared" si="1"/>
        <v>321.17379999999838</v>
      </c>
      <c r="U14">
        <v>5</v>
      </c>
    </row>
    <row r="15" spans="2:22" hidden="1" x14ac:dyDescent="0.25">
      <c r="B15" s="144" t="s">
        <v>79</v>
      </c>
      <c r="C15" s="144">
        <v>24</v>
      </c>
      <c r="D15" s="170" t="s">
        <v>116</v>
      </c>
      <c r="E15" s="143">
        <v>11.209999999999809</v>
      </c>
      <c r="F15" s="143">
        <v>0.44000000000000483</v>
      </c>
      <c r="G15" s="143">
        <v>6.9199999999999591</v>
      </c>
      <c r="H15" s="143">
        <v>0.2657999999999987</v>
      </c>
      <c r="I15" s="143">
        <v>6.2100000000000364</v>
      </c>
      <c r="J15" s="143">
        <v>5.9700000000000273</v>
      </c>
      <c r="K15" s="143">
        <v>1.3199999999999932</v>
      </c>
      <c r="L15" s="143">
        <v>4.3799999999999955</v>
      </c>
      <c r="M15" s="143">
        <v>0.31000000000000227</v>
      </c>
      <c r="N15" s="143">
        <v>-0.11999999999999744</v>
      </c>
      <c r="O15" s="143">
        <v>-0.28000000000000114</v>
      </c>
      <c r="P15" s="163">
        <f t="shared" si="0"/>
        <v>24.709999999999866</v>
      </c>
      <c r="Q15" s="163">
        <f t="shared" si="1"/>
        <v>321.17379999999838</v>
      </c>
      <c r="U15">
        <v>6</v>
      </c>
    </row>
    <row r="16" spans="2:22" hidden="1" x14ac:dyDescent="0.25">
      <c r="B16" s="144" t="s">
        <v>79</v>
      </c>
      <c r="C16" s="144">
        <v>26</v>
      </c>
      <c r="D16" s="170" t="s">
        <v>111</v>
      </c>
      <c r="E16" s="143">
        <v>11.209999999999809</v>
      </c>
      <c r="F16" s="143">
        <v>0.44000000000000483</v>
      </c>
      <c r="G16" s="143">
        <v>6.9199999999999591</v>
      </c>
      <c r="H16" s="143">
        <v>0.2657999999999987</v>
      </c>
      <c r="I16" s="143">
        <v>6.6899999999999409</v>
      </c>
      <c r="J16" s="143">
        <v>7.1499999999999773</v>
      </c>
      <c r="K16" s="143">
        <v>1.4799999999999898</v>
      </c>
      <c r="L16" s="143">
        <v>4.9300000000000068</v>
      </c>
      <c r="M16" s="143">
        <v>0.34999999999999432</v>
      </c>
      <c r="N16" s="143">
        <v>-0.11999999999999744</v>
      </c>
      <c r="O16" s="143">
        <v>-0.28000000000000114</v>
      </c>
      <c r="P16" s="163">
        <f t="shared" si="0"/>
        <v>26.529999999999717</v>
      </c>
      <c r="Q16" s="163">
        <f t="shared" si="1"/>
        <v>344.56819999999647</v>
      </c>
      <c r="U16">
        <v>7</v>
      </c>
    </row>
    <row r="17" spans="2:21" hidden="1" x14ac:dyDescent="0.25">
      <c r="B17" s="144" t="s">
        <v>79</v>
      </c>
      <c r="C17" s="144">
        <v>26</v>
      </c>
      <c r="D17" s="170" t="s">
        <v>110</v>
      </c>
      <c r="E17" s="143">
        <v>11.209999999999809</v>
      </c>
      <c r="F17" s="143">
        <v>0.43079999999999785</v>
      </c>
      <c r="G17" s="143">
        <v>6.9199999999999591</v>
      </c>
      <c r="H17" s="143">
        <v>0.2657999999999987</v>
      </c>
      <c r="I17" s="143">
        <v>13.950000000000045</v>
      </c>
      <c r="J17" s="143">
        <v>7.1499999999999773</v>
      </c>
      <c r="K17" s="143">
        <v>1.6400000000000148</v>
      </c>
      <c r="L17" s="143">
        <v>5.4799999999999045</v>
      </c>
      <c r="M17" s="143">
        <v>0.38000000000000256</v>
      </c>
      <c r="N17" s="143">
        <v>-0.11999999999999744</v>
      </c>
      <c r="O17" s="143">
        <v>-0.28000000000000114</v>
      </c>
      <c r="P17" s="163">
        <f t="shared" si="0"/>
        <v>33.949999999999847</v>
      </c>
      <c r="Q17" s="163">
        <f t="shared" si="1"/>
        <v>439.27099999999808</v>
      </c>
      <c r="U17">
        <v>8</v>
      </c>
    </row>
    <row r="18" spans="2:21" hidden="1" x14ac:dyDescent="0.25">
      <c r="U18">
        <v>9</v>
      </c>
    </row>
    <row r="19" spans="2:21" hidden="1" x14ac:dyDescent="0.25">
      <c r="U19">
        <v>10</v>
      </c>
    </row>
    <row r="20" spans="2:21" hidden="1" x14ac:dyDescent="0.25">
      <c r="U20">
        <v>11</v>
      </c>
    </row>
    <row r="21" spans="2:21" hidden="1" x14ac:dyDescent="0.25">
      <c r="U21">
        <v>12</v>
      </c>
    </row>
    <row r="22" spans="2:21" hidden="1" x14ac:dyDescent="0.25">
      <c r="U22">
        <v>13</v>
      </c>
    </row>
    <row r="23" spans="2:21" hidden="1" x14ac:dyDescent="0.25">
      <c r="U23">
        <v>14</v>
      </c>
    </row>
    <row r="24" spans="2:21" hidden="1" x14ac:dyDescent="0.25">
      <c r="U24">
        <v>15</v>
      </c>
    </row>
    <row r="25" spans="2:21" hidden="1" x14ac:dyDescent="0.25">
      <c r="U25">
        <v>16</v>
      </c>
    </row>
    <row r="26" spans="2:21" hidden="1" x14ac:dyDescent="0.25">
      <c r="U26">
        <v>17</v>
      </c>
    </row>
    <row r="27" spans="2:21" hidden="1" x14ac:dyDescent="0.25">
      <c r="U27">
        <v>18</v>
      </c>
    </row>
    <row r="28" spans="2:21" hidden="1" x14ac:dyDescent="0.25">
      <c r="U28">
        <v>19</v>
      </c>
    </row>
    <row r="29" spans="2:21" hidden="1" x14ac:dyDescent="0.25">
      <c r="U29">
        <v>20</v>
      </c>
    </row>
    <row r="30" spans="2:21" hidden="1" x14ac:dyDescent="0.25">
      <c r="U30">
        <v>21</v>
      </c>
    </row>
    <row r="31" spans="2:21" hidden="1" x14ac:dyDescent="0.25">
      <c r="U31">
        <v>22</v>
      </c>
    </row>
    <row r="32" spans="2:21" hidden="1" x14ac:dyDescent="0.25">
      <c r="U32">
        <v>23</v>
      </c>
    </row>
    <row r="33" spans="21:21" hidden="1" x14ac:dyDescent="0.25">
      <c r="U33">
        <v>24</v>
      </c>
    </row>
    <row r="34" spans="21:21" hidden="1" x14ac:dyDescent="0.25">
      <c r="U34">
        <v>25</v>
      </c>
    </row>
    <row r="35" spans="21:21" hidden="1" x14ac:dyDescent="0.25">
      <c r="U35">
        <v>26</v>
      </c>
    </row>
    <row r="36" spans="21:21" hidden="1" x14ac:dyDescent="0.25">
      <c r="U36">
        <v>27</v>
      </c>
    </row>
    <row r="37" spans="21:21" hidden="1" x14ac:dyDescent="0.25">
      <c r="U37">
        <v>28</v>
      </c>
    </row>
    <row r="38" spans="21:21" hidden="1" x14ac:dyDescent="0.25">
      <c r="U38">
        <v>29</v>
      </c>
    </row>
    <row r="39" spans="21:21" hidden="1" x14ac:dyDescent="0.25">
      <c r="U39">
        <v>30</v>
      </c>
    </row>
    <row r="40" spans="21:21" hidden="1" x14ac:dyDescent="0.25">
      <c r="U40">
        <v>31</v>
      </c>
    </row>
    <row r="41" spans="21:21" hidden="1" x14ac:dyDescent="0.25">
      <c r="U41">
        <v>32</v>
      </c>
    </row>
    <row r="42" spans="21:21" hidden="1" x14ac:dyDescent="0.25">
      <c r="U42">
        <v>33</v>
      </c>
    </row>
    <row r="43" spans="21:21" hidden="1" x14ac:dyDescent="0.25">
      <c r="U43">
        <v>34</v>
      </c>
    </row>
    <row r="44" spans="21:21" hidden="1" x14ac:dyDescent="0.25">
      <c r="U44">
        <v>35</v>
      </c>
    </row>
    <row r="45" spans="21:21" hidden="1" x14ac:dyDescent="0.25">
      <c r="U45">
        <v>36</v>
      </c>
    </row>
    <row r="46" spans="21:21" hidden="1" x14ac:dyDescent="0.25">
      <c r="U46">
        <v>37</v>
      </c>
    </row>
    <row r="47" spans="21:21" hidden="1" x14ac:dyDescent="0.25">
      <c r="U47">
        <v>38</v>
      </c>
    </row>
    <row r="48" spans="21:21" hidden="1" x14ac:dyDescent="0.25">
      <c r="U48">
        <v>39</v>
      </c>
    </row>
    <row r="49" spans="21:21" hidden="1" x14ac:dyDescent="0.25">
      <c r="U49">
        <v>40</v>
      </c>
    </row>
    <row r="50" spans="21:21" hidden="1" x14ac:dyDescent="0.25">
      <c r="U50">
        <v>41</v>
      </c>
    </row>
  </sheetData>
  <sheetProtection password="DF4C" sheet="1" objects="1" scenarios="1"/>
  <mergeCells count="1">
    <mergeCell ref="B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Nómina</vt:lpstr>
      <vt:lpstr>Datos IRPF</vt:lpstr>
      <vt:lpstr>Retribuciones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DOCENTES DE CANARIAS-INSUCAN - CSIF</cp:lastModifiedBy>
  <cp:lastPrinted>2010-06-03T19:39:34Z</cp:lastPrinted>
  <dcterms:created xsi:type="dcterms:W3CDTF">2010-01-09T16:18:22Z</dcterms:created>
  <dcterms:modified xsi:type="dcterms:W3CDTF">2018-10-14T18:25:21Z</dcterms:modified>
</cp:coreProperties>
</file>