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sucan\Downloads\"/>
    </mc:Choice>
  </mc:AlternateContent>
  <xr:revisionPtr revIDLastSave="0" documentId="13_ncr:1_{4D8BCF6D-4B93-464E-BF53-ECB2BA93BE4F}" xr6:coauthVersionLast="47" xr6:coauthVersionMax="47" xr10:uidLastSave="{00000000-0000-0000-0000-000000000000}"/>
  <bookViews>
    <workbookView xWindow="-120" yWindow="-120" windowWidth="38640" windowHeight="15840" xr2:uid="{00000000-000D-0000-FFFF-FFFF00000000}"/>
  </bookViews>
  <sheets>
    <sheet name="Nómina" sheetId="18" r:id="rId1"/>
    <sheet name="Nomina1dia" sheetId="19" state="hidden" r:id="rId2"/>
    <sheet name="Nóminab" sheetId="8" state="hidden" r:id="rId3"/>
    <sheet name="IRPF año completo" sheetId="15" r:id="rId4"/>
    <sheet name="IRPF meses nombrado" sheetId="16" r:id="rId5"/>
    <sheet name="Retribuciones" sheetId="14" r:id="rId6"/>
    <sheet name="SexeniosPerdidos" sheetId="20" state="hidden" r:id="rId7"/>
  </sheets>
  <externalReferences>
    <externalReference r:id="rId8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7" i="18" l="1"/>
  <c r="B16" i="18"/>
  <c r="E17" i="18"/>
  <c r="E16" i="18"/>
  <c r="AD14" i="14"/>
  <c r="AD15" i="14"/>
  <c r="AD16" i="14"/>
  <c r="AD17" i="14"/>
  <c r="AD19" i="14"/>
  <c r="T133" i="19"/>
  <c r="T134" i="19"/>
  <c r="S134" i="19"/>
  <c r="S133" i="19"/>
  <c r="E37" i="18"/>
  <c r="E34" i="18"/>
  <c r="E32" i="18"/>
  <c r="J15" i="20"/>
  <c r="J16" i="20" s="1"/>
  <c r="E52" i="18"/>
  <c r="T69" i="8"/>
  <c r="J17" i="20" l="1"/>
  <c r="K17" i="20" s="1"/>
  <c r="L16" i="20"/>
  <c r="K16" i="20"/>
  <c r="J14" i="20"/>
  <c r="K14" i="20" s="1"/>
  <c r="K15" i="20"/>
  <c r="L15" i="20"/>
  <c r="J47" i="14"/>
  <c r="D47" i="14"/>
  <c r="J46" i="14"/>
  <c r="F46" i="14"/>
  <c r="E46" i="14"/>
  <c r="D46" i="14"/>
  <c r="J45" i="14"/>
  <c r="F45" i="14"/>
  <c r="E45" i="14"/>
  <c r="D45" i="14"/>
  <c r="J44" i="14"/>
  <c r="F44" i="14"/>
  <c r="E44" i="14"/>
  <c r="D44" i="14"/>
  <c r="M32" i="14"/>
  <c r="L32" i="14"/>
  <c r="J32" i="14"/>
  <c r="F32" i="14"/>
  <c r="E32" i="14"/>
  <c r="D32" i="14"/>
  <c r="L30" i="14"/>
  <c r="F30" i="14"/>
  <c r="D30" i="14"/>
  <c r="L14" i="20" l="1"/>
  <c r="M14" i="20" s="1"/>
  <c r="M15" i="20"/>
  <c r="J13" i="20"/>
  <c r="K13" i="20" s="1"/>
  <c r="M16" i="20"/>
  <c r="L17" i="20"/>
  <c r="M17" i="20" s="1"/>
  <c r="J18" i="20"/>
  <c r="D44" i="8"/>
  <c r="B44" i="8"/>
  <c r="B43" i="8"/>
  <c r="B42" i="8"/>
  <c r="B41" i="8"/>
  <c r="T145" i="18"/>
  <c r="S145" i="18"/>
  <c r="T135" i="18"/>
  <c r="S135" i="18"/>
  <c r="L13" i="20" l="1"/>
  <c r="M13" i="20" s="1"/>
  <c r="J12" i="20"/>
  <c r="J19" i="20"/>
  <c r="K18" i="20"/>
  <c r="L18" i="20"/>
  <c r="L12" i="20"/>
  <c r="K12" i="20"/>
  <c r="J11" i="20"/>
  <c r="K48" i="14"/>
  <c r="L48" i="14" s="1"/>
  <c r="M48" i="14" s="1"/>
  <c r="E48" i="14"/>
  <c r="F48" i="14" s="1"/>
  <c r="G48" i="14" s="1"/>
  <c r="H48" i="14" s="1"/>
  <c r="I48" i="14" s="1"/>
  <c r="K47" i="14"/>
  <c r="L47" i="14" s="1"/>
  <c r="M47" i="14" s="1"/>
  <c r="E47" i="14"/>
  <c r="F47" i="14" s="1"/>
  <c r="G47" i="14" s="1"/>
  <c r="H47" i="14" s="1"/>
  <c r="I47" i="14" s="1"/>
  <c r="K46" i="14"/>
  <c r="L46" i="14" s="1"/>
  <c r="M46" i="14" s="1"/>
  <c r="G46" i="14"/>
  <c r="H46" i="14" s="1"/>
  <c r="I46" i="14" s="1"/>
  <c r="K45" i="14"/>
  <c r="L45" i="14" s="1"/>
  <c r="M45" i="14" s="1"/>
  <c r="G45" i="14"/>
  <c r="H45" i="14" s="1"/>
  <c r="I45" i="14" s="1"/>
  <c r="K44" i="14"/>
  <c r="L44" i="14" s="1"/>
  <c r="M44" i="14" s="1"/>
  <c r="G44" i="14"/>
  <c r="H44" i="14" s="1"/>
  <c r="I44" i="14" s="1"/>
  <c r="D43" i="14"/>
  <c r="E43" i="14" s="1"/>
  <c r="F43" i="14" s="1"/>
  <c r="G43" i="14" s="1"/>
  <c r="H43" i="14" s="1"/>
  <c r="I43" i="14" s="1"/>
  <c r="J43" i="14" s="1"/>
  <c r="K43" i="14" s="1"/>
  <c r="L43" i="14" s="1"/>
  <c r="M43" i="14" s="1"/>
  <c r="E42" i="14"/>
  <c r="F42" i="14" s="1"/>
  <c r="G42" i="14" s="1"/>
  <c r="H42" i="14" s="1"/>
  <c r="I42" i="14" s="1"/>
  <c r="J42" i="14" s="1"/>
  <c r="K42" i="14" s="1"/>
  <c r="L42" i="14" s="1"/>
  <c r="M42" i="14" s="1"/>
  <c r="D41" i="14"/>
  <c r="E41" i="14" s="1"/>
  <c r="F41" i="14" s="1"/>
  <c r="G41" i="14" s="1"/>
  <c r="H41" i="14" s="1"/>
  <c r="I41" i="14" s="1"/>
  <c r="J41" i="14" s="1"/>
  <c r="K41" i="14" s="1"/>
  <c r="L41" i="14" s="1"/>
  <c r="M41" i="14" s="1"/>
  <c r="E40" i="14"/>
  <c r="F40" i="14" s="1"/>
  <c r="G40" i="14" s="1"/>
  <c r="H40" i="14" s="1"/>
  <c r="I40" i="14" s="1"/>
  <c r="J40" i="14" s="1"/>
  <c r="K40" i="14" s="1"/>
  <c r="L40" i="14" s="1"/>
  <c r="M40" i="14" s="1"/>
  <c r="D39" i="14"/>
  <c r="E39" i="14" s="1"/>
  <c r="F39" i="14" s="1"/>
  <c r="G39" i="14" s="1"/>
  <c r="H39" i="14" s="1"/>
  <c r="I39" i="14" s="1"/>
  <c r="J39" i="14" s="1"/>
  <c r="K39" i="14" s="1"/>
  <c r="L39" i="14" s="1"/>
  <c r="M39" i="14" s="1"/>
  <c r="E38" i="14"/>
  <c r="F38" i="14" s="1"/>
  <c r="G38" i="14" s="1"/>
  <c r="H38" i="14" s="1"/>
  <c r="I38" i="14" s="1"/>
  <c r="J38" i="14" s="1"/>
  <c r="K38" i="14" s="1"/>
  <c r="L38" i="14" s="1"/>
  <c r="M38" i="14" s="1"/>
  <c r="D37" i="14"/>
  <c r="E37" i="14" s="1"/>
  <c r="F37" i="14" s="1"/>
  <c r="G37" i="14" s="1"/>
  <c r="H37" i="14" s="1"/>
  <c r="I37" i="14" s="1"/>
  <c r="J37" i="14" s="1"/>
  <c r="K37" i="14" s="1"/>
  <c r="L37" i="14" s="1"/>
  <c r="M37" i="14" s="1"/>
  <c r="E36" i="14"/>
  <c r="F36" i="14" s="1"/>
  <c r="G36" i="14" s="1"/>
  <c r="H36" i="14" s="1"/>
  <c r="I36" i="14" s="1"/>
  <c r="J36" i="14" s="1"/>
  <c r="K36" i="14" s="1"/>
  <c r="L36" i="14" s="1"/>
  <c r="M36" i="14" s="1"/>
  <c r="D35" i="14"/>
  <c r="E35" i="14" s="1"/>
  <c r="F35" i="14" s="1"/>
  <c r="G35" i="14" s="1"/>
  <c r="H35" i="14" s="1"/>
  <c r="I35" i="14" s="1"/>
  <c r="J35" i="14" s="1"/>
  <c r="K35" i="14" s="1"/>
  <c r="L35" i="14" s="1"/>
  <c r="M35" i="14" s="1"/>
  <c r="E34" i="14"/>
  <c r="F34" i="14" s="1"/>
  <c r="G34" i="14" s="1"/>
  <c r="H34" i="14" s="1"/>
  <c r="I34" i="14" s="1"/>
  <c r="J34" i="14" s="1"/>
  <c r="K34" i="14" s="1"/>
  <c r="L34" i="14" s="1"/>
  <c r="M34" i="14" s="1"/>
  <c r="M33" i="14"/>
  <c r="L33" i="14"/>
  <c r="J33" i="14"/>
  <c r="F33" i="14"/>
  <c r="E33" i="14"/>
  <c r="D33" i="14"/>
  <c r="F31" i="14"/>
  <c r="D31" i="14"/>
  <c r="L31" i="14"/>
  <c r="G30" i="14"/>
  <c r="G31" i="14" s="1"/>
  <c r="E30" i="14"/>
  <c r="E31" i="14" s="1"/>
  <c r="K29" i="14"/>
  <c r="L29" i="14" s="1"/>
  <c r="M29" i="14" s="1"/>
  <c r="E29" i="14"/>
  <c r="F29" i="14" s="1"/>
  <c r="G29" i="14" s="1"/>
  <c r="H29" i="14" s="1"/>
  <c r="I29" i="14" s="1"/>
  <c r="J28" i="14"/>
  <c r="K28" i="14" s="1"/>
  <c r="L28" i="14" s="1"/>
  <c r="M28" i="14" s="1"/>
  <c r="D28" i="14"/>
  <c r="E28" i="14" s="1"/>
  <c r="F28" i="14" s="1"/>
  <c r="G28" i="14" s="1"/>
  <c r="H28" i="14" s="1"/>
  <c r="I28" i="14" s="1"/>
  <c r="K27" i="14"/>
  <c r="L27" i="14" s="1"/>
  <c r="M27" i="14" s="1"/>
  <c r="E27" i="14"/>
  <c r="F27" i="14" s="1"/>
  <c r="G27" i="14" s="1"/>
  <c r="H27" i="14" s="1"/>
  <c r="I27" i="14" s="1"/>
  <c r="J26" i="14"/>
  <c r="K26" i="14" s="1"/>
  <c r="L26" i="14" s="1"/>
  <c r="M26" i="14" s="1"/>
  <c r="D26" i="14"/>
  <c r="E26" i="14" s="1"/>
  <c r="F26" i="14" s="1"/>
  <c r="G26" i="14" s="1"/>
  <c r="H26" i="14" s="1"/>
  <c r="I26" i="14" s="1"/>
  <c r="M12" i="20" l="1"/>
  <c r="M18" i="20"/>
  <c r="J20" i="20"/>
  <c r="K19" i="20"/>
  <c r="L19" i="20"/>
  <c r="K11" i="20"/>
  <c r="M11" i="20" s="1"/>
  <c r="J10" i="20"/>
  <c r="G32" i="14"/>
  <c r="H32" i="14" s="1"/>
  <c r="H33" i="14"/>
  <c r="I32" i="14"/>
  <c r="I33" i="14" s="1"/>
  <c r="K32" i="14"/>
  <c r="K33" i="14" s="1"/>
  <c r="H30" i="14"/>
  <c r="M30" i="14"/>
  <c r="M31" i="14" s="1"/>
  <c r="G33" i="14"/>
  <c r="M19" i="20" l="1"/>
  <c r="J21" i="20"/>
  <c r="L20" i="20"/>
  <c r="K20" i="20"/>
  <c r="K10" i="20"/>
  <c r="M10" i="20" s="1"/>
  <c r="J9" i="20"/>
  <c r="I30" i="14"/>
  <c r="H31" i="14"/>
  <c r="M20" i="20" l="1"/>
  <c r="J22" i="20"/>
  <c r="K21" i="20"/>
  <c r="L21" i="20"/>
  <c r="K9" i="20"/>
  <c r="M9" i="20" s="1"/>
  <c r="J8" i="20"/>
  <c r="I31" i="14"/>
  <c r="J30" i="14"/>
  <c r="M21" i="20" l="1"/>
  <c r="L22" i="20"/>
  <c r="K22" i="20"/>
  <c r="J23" i="20"/>
  <c r="K8" i="20"/>
  <c r="M8" i="20" s="1"/>
  <c r="J7" i="20"/>
  <c r="J31" i="14"/>
  <c r="K30" i="14"/>
  <c r="K31" i="14" s="1"/>
  <c r="M22" i="20" l="1"/>
  <c r="L23" i="20"/>
  <c r="J24" i="20"/>
  <c r="K23" i="20"/>
  <c r="J6" i="20"/>
  <c r="K7" i="20"/>
  <c r="M7" i="20" s="1"/>
  <c r="B59" i="18"/>
  <c r="B40" i="8"/>
  <c r="T144" i="18"/>
  <c r="T143" i="18"/>
  <c r="T142" i="18"/>
  <c r="T141" i="18"/>
  <c r="T140" i="18"/>
  <c r="T139" i="18"/>
  <c r="T138" i="18"/>
  <c r="T134" i="18"/>
  <c r="T133" i="18"/>
  <c r="T132" i="18"/>
  <c r="T131" i="18"/>
  <c r="T130" i="18"/>
  <c r="T129" i="18"/>
  <c r="T128" i="18"/>
  <c r="T127" i="18"/>
  <c r="T126" i="18"/>
  <c r="T123" i="18"/>
  <c r="T122" i="18"/>
  <c r="T121" i="18"/>
  <c r="T120" i="18"/>
  <c r="T119" i="18"/>
  <c r="T118" i="18"/>
  <c r="T117" i="18"/>
  <c r="T116" i="18"/>
  <c r="T115" i="18"/>
  <c r="T114" i="18"/>
  <c r="T113" i="18"/>
  <c r="T112" i="18"/>
  <c r="T110" i="18"/>
  <c r="T109" i="18"/>
  <c r="T108" i="18"/>
  <c r="T107" i="18"/>
  <c r="T106" i="18"/>
  <c r="T105" i="18"/>
  <c r="T104" i="18"/>
  <c r="T103" i="18"/>
  <c r="T102" i="18"/>
  <c r="T101" i="18"/>
  <c r="T100" i="18"/>
  <c r="T99" i="18"/>
  <c r="T98" i="18"/>
  <c r="T97" i="18"/>
  <c r="T96" i="18"/>
  <c r="T95" i="18"/>
  <c r="T94" i="18"/>
  <c r="T93" i="18"/>
  <c r="T92" i="18"/>
  <c r="T91" i="18"/>
  <c r="T90" i="18"/>
  <c r="T89" i="18"/>
  <c r="T88" i="18"/>
  <c r="T87" i="18"/>
  <c r="T86" i="18"/>
  <c r="T85" i="18"/>
  <c r="T84" i="18"/>
  <c r="T83" i="18"/>
  <c r="T82" i="18"/>
  <c r="T81" i="18"/>
  <c r="T80" i="18"/>
  <c r="T79" i="18"/>
  <c r="T78" i="18"/>
  <c r="T77" i="18"/>
  <c r="T76" i="18"/>
  <c r="T75" i="18"/>
  <c r="T74" i="18"/>
  <c r="T73" i="18"/>
  <c r="T72" i="18"/>
  <c r="T71" i="18"/>
  <c r="T70" i="18"/>
  <c r="T69" i="18"/>
  <c r="S144" i="18"/>
  <c r="S143" i="18"/>
  <c r="S142" i="18"/>
  <c r="S141" i="18"/>
  <c r="S140" i="18"/>
  <c r="S139" i="18"/>
  <c r="S138" i="18"/>
  <c r="S134" i="18"/>
  <c r="S133" i="18"/>
  <c r="S132" i="18"/>
  <c r="S131" i="18"/>
  <c r="S130" i="18"/>
  <c r="S129" i="18"/>
  <c r="S128" i="18"/>
  <c r="S127" i="18"/>
  <c r="S126" i="18"/>
  <c r="S125" i="18"/>
  <c r="S124" i="18"/>
  <c r="S123" i="18"/>
  <c r="S122" i="18"/>
  <c r="S121" i="18"/>
  <c r="S120" i="18"/>
  <c r="S119" i="18"/>
  <c r="S118" i="18"/>
  <c r="S117" i="18"/>
  <c r="S116" i="18"/>
  <c r="S115" i="18"/>
  <c r="S114" i="18"/>
  <c r="S113" i="18"/>
  <c r="S112" i="18"/>
  <c r="S111" i="18"/>
  <c r="S110" i="18"/>
  <c r="S109" i="18"/>
  <c r="S108" i="18"/>
  <c r="S107" i="18"/>
  <c r="S106" i="18"/>
  <c r="S105" i="18"/>
  <c r="S104" i="18"/>
  <c r="S103" i="18"/>
  <c r="S102" i="18"/>
  <c r="S101" i="18"/>
  <c r="S100" i="18"/>
  <c r="S99" i="18"/>
  <c r="S98" i="18"/>
  <c r="S97" i="18"/>
  <c r="S96" i="18"/>
  <c r="S95" i="18"/>
  <c r="S94" i="18"/>
  <c r="S93" i="18"/>
  <c r="S92" i="18"/>
  <c r="S91" i="18"/>
  <c r="S90" i="18"/>
  <c r="S89" i="18"/>
  <c r="S88" i="18"/>
  <c r="S87" i="18"/>
  <c r="S86" i="18"/>
  <c r="S85" i="18"/>
  <c r="S84" i="18"/>
  <c r="S83" i="18"/>
  <c r="S82" i="18"/>
  <c r="S81" i="18"/>
  <c r="S80" i="18"/>
  <c r="S79" i="18"/>
  <c r="S78" i="18"/>
  <c r="S77" i="18"/>
  <c r="S76" i="18"/>
  <c r="S75" i="18"/>
  <c r="S74" i="18"/>
  <c r="S73" i="18"/>
  <c r="S72" i="18"/>
  <c r="S71" i="18"/>
  <c r="S70" i="18"/>
  <c r="S69" i="18"/>
  <c r="U68" i="18" s="1"/>
  <c r="T139" i="8"/>
  <c r="T140" i="8"/>
  <c r="T141" i="8"/>
  <c r="T142" i="8"/>
  <c r="T143" i="8"/>
  <c r="T144" i="8"/>
  <c r="T138" i="8"/>
  <c r="S144" i="8"/>
  <c r="S138" i="8"/>
  <c r="S139" i="8"/>
  <c r="S140" i="8"/>
  <c r="S141" i="8"/>
  <c r="S142" i="8"/>
  <c r="S143" i="8"/>
  <c r="T70" i="8"/>
  <c r="T71" i="8"/>
  <c r="T72" i="8"/>
  <c r="T73" i="8"/>
  <c r="T74" i="8"/>
  <c r="T75" i="8"/>
  <c r="T76" i="8"/>
  <c r="T77" i="8"/>
  <c r="T78" i="8"/>
  <c r="T79" i="8"/>
  <c r="T80" i="8"/>
  <c r="T81" i="8"/>
  <c r="T82" i="8"/>
  <c r="T83" i="8"/>
  <c r="T84" i="8"/>
  <c r="T85" i="8"/>
  <c r="T86" i="8"/>
  <c r="T87" i="8"/>
  <c r="T88" i="8"/>
  <c r="T89" i="8"/>
  <c r="T90" i="8"/>
  <c r="T91" i="8"/>
  <c r="T92" i="8"/>
  <c r="T93" i="8"/>
  <c r="T94" i="8"/>
  <c r="T95" i="8"/>
  <c r="T96" i="8"/>
  <c r="T97" i="8"/>
  <c r="T98" i="8"/>
  <c r="T99" i="8"/>
  <c r="T100" i="8"/>
  <c r="T101" i="8"/>
  <c r="T102" i="8"/>
  <c r="T103" i="8"/>
  <c r="T104" i="8"/>
  <c r="T105" i="8"/>
  <c r="T106" i="8"/>
  <c r="T107" i="8"/>
  <c r="T108" i="8"/>
  <c r="T109" i="8"/>
  <c r="T110" i="8"/>
  <c r="T113" i="8"/>
  <c r="T114" i="8"/>
  <c r="T112" i="8"/>
  <c r="T115" i="8"/>
  <c r="T116" i="8"/>
  <c r="T117" i="8"/>
  <c r="T118" i="8"/>
  <c r="T119" i="8"/>
  <c r="T120" i="8"/>
  <c r="T121" i="8"/>
  <c r="T122" i="8"/>
  <c r="T123" i="8"/>
  <c r="T126" i="8"/>
  <c r="T127" i="8"/>
  <c r="T128" i="8"/>
  <c r="T129" i="8"/>
  <c r="T130" i="8"/>
  <c r="T131" i="8"/>
  <c r="T132" i="8"/>
  <c r="T133" i="8"/>
  <c r="T134" i="8"/>
  <c r="S111" i="8"/>
  <c r="S70" i="8"/>
  <c r="S71" i="8"/>
  <c r="S72" i="8"/>
  <c r="S73" i="8"/>
  <c r="S74" i="8"/>
  <c r="S75" i="8"/>
  <c r="S76" i="8"/>
  <c r="S77" i="8"/>
  <c r="S78" i="8"/>
  <c r="S79" i="8"/>
  <c r="S80" i="8"/>
  <c r="S81" i="8"/>
  <c r="S82" i="8"/>
  <c r="S83" i="8"/>
  <c r="S84" i="8"/>
  <c r="S85" i="8"/>
  <c r="S86" i="8"/>
  <c r="S87" i="8"/>
  <c r="S88" i="8"/>
  <c r="S89" i="8"/>
  <c r="S90" i="8"/>
  <c r="S91" i="8"/>
  <c r="S92" i="8"/>
  <c r="S93" i="8"/>
  <c r="S94" i="8"/>
  <c r="S95" i="8"/>
  <c r="S96" i="8"/>
  <c r="S97" i="8"/>
  <c r="S98" i="8"/>
  <c r="S99" i="8"/>
  <c r="S100" i="8"/>
  <c r="S101" i="8"/>
  <c r="S102" i="8"/>
  <c r="S103" i="8"/>
  <c r="S104" i="8"/>
  <c r="S105" i="8"/>
  <c r="S106" i="8"/>
  <c r="S107" i="8"/>
  <c r="S108" i="8"/>
  <c r="S109" i="8"/>
  <c r="S110" i="8"/>
  <c r="S113" i="8"/>
  <c r="S114" i="8"/>
  <c r="S112" i="8"/>
  <c r="S115" i="8"/>
  <c r="S116" i="8"/>
  <c r="S117" i="8"/>
  <c r="S118" i="8"/>
  <c r="S119" i="8"/>
  <c r="S120" i="8"/>
  <c r="S121" i="8"/>
  <c r="S122" i="8"/>
  <c r="S123" i="8"/>
  <c r="S124" i="8"/>
  <c r="S125" i="8"/>
  <c r="D42" i="8" s="1"/>
  <c r="S126" i="8"/>
  <c r="S127" i="8"/>
  <c r="S128" i="8"/>
  <c r="S129" i="8"/>
  <c r="S130" i="8"/>
  <c r="S131" i="8"/>
  <c r="S132" i="8"/>
  <c r="S133" i="8"/>
  <c r="S134" i="8"/>
  <c r="S69" i="8"/>
  <c r="S68" i="8"/>
  <c r="C5" i="19"/>
  <c r="C6" i="19"/>
  <c r="D37" i="19" s="1"/>
  <c r="C7" i="19"/>
  <c r="C8" i="19"/>
  <c r="B29" i="19" s="1"/>
  <c r="C9" i="19"/>
  <c r="C13" i="19"/>
  <c r="B24" i="19" s="1"/>
  <c r="C14" i="19"/>
  <c r="E30" i="19"/>
  <c r="E31" i="19"/>
  <c r="E32" i="19"/>
  <c r="E33" i="19"/>
  <c r="E34" i="19"/>
  <c r="E35" i="19"/>
  <c r="G35" i="19"/>
  <c r="E36" i="19"/>
  <c r="G36" i="19"/>
  <c r="E37" i="19"/>
  <c r="G37" i="19"/>
  <c r="E38" i="19"/>
  <c r="G38" i="19"/>
  <c r="E39" i="19"/>
  <c r="G39" i="19"/>
  <c r="E44" i="19"/>
  <c r="F44" i="19"/>
  <c r="G44" i="19" s="1"/>
  <c r="E48" i="19"/>
  <c r="S68" i="19"/>
  <c r="S69" i="19"/>
  <c r="T69" i="19"/>
  <c r="S70" i="19"/>
  <c r="T70" i="19"/>
  <c r="S71" i="19"/>
  <c r="T71" i="19"/>
  <c r="S72" i="19"/>
  <c r="T72" i="19"/>
  <c r="S73" i="19"/>
  <c r="T73" i="19"/>
  <c r="S74" i="19"/>
  <c r="T74" i="19"/>
  <c r="S75" i="19"/>
  <c r="T75" i="19"/>
  <c r="S76" i="19"/>
  <c r="T76" i="19"/>
  <c r="S77" i="19"/>
  <c r="T77" i="19"/>
  <c r="S78" i="19"/>
  <c r="T78" i="19"/>
  <c r="S79" i="19"/>
  <c r="T79" i="19"/>
  <c r="S80" i="19"/>
  <c r="T80" i="19"/>
  <c r="S81" i="19"/>
  <c r="T81" i="19"/>
  <c r="S82" i="19"/>
  <c r="T82" i="19"/>
  <c r="S83" i="19"/>
  <c r="T83" i="19"/>
  <c r="S84" i="19"/>
  <c r="T84" i="19"/>
  <c r="S85" i="19"/>
  <c r="T85" i="19"/>
  <c r="S86" i="19"/>
  <c r="T86" i="19"/>
  <c r="S87" i="19"/>
  <c r="S88" i="19"/>
  <c r="T88" i="19"/>
  <c r="S89" i="19"/>
  <c r="T89" i="19"/>
  <c r="S90" i="19"/>
  <c r="T90" i="19"/>
  <c r="S91" i="19"/>
  <c r="T91" i="19"/>
  <c r="S92" i="19"/>
  <c r="T92" i="19"/>
  <c r="S93" i="19"/>
  <c r="T93" i="19"/>
  <c r="S94" i="19"/>
  <c r="T94" i="19"/>
  <c r="S95" i="19"/>
  <c r="T95" i="19"/>
  <c r="S96" i="19"/>
  <c r="T96" i="19"/>
  <c r="S97" i="19"/>
  <c r="T97" i="19"/>
  <c r="S98" i="19"/>
  <c r="T98" i="19"/>
  <c r="S99" i="19"/>
  <c r="T99" i="19"/>
  <c r="S100" i="19"/>
  <c r="T100" i="19"/>
  <c r="S101" i="19"/>
  <c r="T101" i="19"/>
  <c r="S102" i="19"/>
  <c r="T102" i="19"/>
  <c r="S103" i="19"/>
  <c r="T103" i="19"/>
  <c r="S104" i="19"/>
  <c r="T104" i="19"/>
  <c r="S105" i="19"/>
  <c r="T105" i="19"/>
  <c r="S106" i="19"/>
  <c r="T106" i="19"/>
  <c r="S107" i="19"/>
  <c r="T107" i="19"/>
  <c r="S108" i="19"/>
  <c r="S109" i="19"/>
  <c r="T109" i="19"/>
  <c r="S110" i="19"/>
  <c r="T110" i="19"/>
  <c r="S111" i="19"/>
  <c r="T111" i="19"/>
  <c r="S112" i="19"/>
  <c r="T112" i="19"/>
  <c r="S113" i="19"/>
  <c r="T113" i="19"/>
  <c r="S114" i="19"/>
  <c r="T114" i="19"/>
  <c r="S115" i="19"/>
  <c r="T115" i="19"/>
  <c r="S116" i="19"/>
  <c r="T116" i="19"/>
  <c r="S117" i="19"/>
  <c r="T117" i="19"/>
  <c r="S118" i="19"/>
  <c r="T118" i="19"/>
  <c r="S119" i="19"/>
  <c r="T119" i="19"/>
  <c r="S120" i="19"/>
  <c r="T120" i="19"/>
  <c r="S121" i="19"/>
  <c r="T121" i="19"/>
  <c r="S122" i="19"/>
  <c r="T122" i="19"/>
  <c r="S123" i="19"/>
  <c r="T123" i="19"/>
  <c r="S124" i="19"/>
  <c r="S125" i="19"/>
  <c r="S126" i="19"/>
  <c r="T126" i="19"/>
  <c r="S127" i="19"/>
  <c r="T127" i="19"/>
  <c r="S128" i="19"/>
  <c r="T128" i="19"/>
  <c r="S129" i="19"/>
  <c r="T129" i="19"/>
  <c r="S130" i="19"/>
  <c r="T130" i="19"/>
  <c r="S131" i="19"/>
  <c r="T131" i="19"/>
  <c r="S132" i="19"/>
  <c r="T132" i="19"/>
  <c r="B58" i="18"/>
  <c r="B52" i="18"/>
  <c r="B51" i="18"/>
  <c r="B18" i="18"/>
  <c r="F37" i="19" l="1"/>
  <c r="M23" i="20"/>
  <c r="L24" i="20"/>
  <c r="J25" i="20"/>
  <c r="K24" i="20"/>
  <c r="J5" i="20"/>
  <c r="K6" i="20"/>
  <c r="M6" i="20" s="1"/>
  <c r="U125" i="18"/>
  <c r="D42" i="18" s="1"/>
  <c r="D41" i="8"/>
  <c r="U137" i="18"/>
  <c r="U111" i="18"/>
  <c r="F32" i="19"/>
  <c r="G32" i="19" s="1"/>
  <c r="D43" i="8"/>
  <c r="D39" i="19"/>
  <c r="F39" i="19" s="1"/>
  <c r="F34" i="19"/>
  <c r="G34" i="19" s="1"/>
  <c r="B37" i="19"/>
  <c r="D36" i="19"/>
  <c r="F36" i="19" s="1"/>
  <c r="B60" i="19"/>
  <c r="B25" i="19"/>
  <c r="B62" i="19"/>
  <c r="D35" i="19"/>
  <c r="F35" i="19" s="1"/>
  <c r="B51" i="19"/>
  <c r="B36" i="19"/>
  <c r="C51" i="19"/>
  <c r="F48" i="19"/>
  <c r="G48" i="19" s="1"/>
  <c r="F33" i="19"/>
  <c r="G33" i="19" s="1"/>
  <c r="D40" i="8"/>
  <c r="D43" i="19"/>
  <c r="E43" i="19" s="1"/>
  <c r="D42" i="19"/>
  <c r="E42" i="19" s="1"/>
  <c r="D40" i="19"/>
  <c r="E40" i="19" s="1"/>
  <c r="D41" i="19"/>
  <c r="E41" i="19" s="1"/>
  <c r="F31" i="19"/>
  <c r="G31" i="19" s="1"/>
  <c r="F30" i="19"/>
  <c r="G30" i="19" s="1"/>
  <c r="B28" i="19"/>
  <c r="D25" i="19"/>
  <c r="J17" i="19"/>
  <c r="E17" i="19"/>
  <c r="B39" i="19"/>
  <c r="B35" i="19"/>
  <c r="B17" i="19"/>
  <c r="C50" i="19"/>
  <c r="B50" i="19"/>
  <c r="E12" i="19"/>
  <c r="L53" i="19"/>
  <c r="D38" i="19"/>
  <c r="F38" i="19" s="1"/>
  <c r="B12" i="19"/>
  <c r="B38" i="19"/>
  <c r="E11" i="19"/>
  <c r="B11" i="19"/>
  <c r="C49" i="19"/>
  <c r="B49" i="19"/>
  <c r="B61" i="18"/>
  <c r="K25" i="20" l="1"/>
  <c r="J26" i="20"/>
  <c r="L25" i="20"/>
  <c r="M24" i="20"/>
  <c r="K5" i="20"/>
  <c r="M5" i="20" s="1"/>
  <c r="J4" i="20"/>
  <c r="D43" i="18"/>
  <c r="B43" i="18"/>
  <c r="B42" i="18"/>
  <c r="D41" i="18"/>
  <c r="B41" i="18"/>
  <c r="B35" i="18"/>
  <c r="D35" i="18"/>
  <c r="U68" i="8"/>
  <c r="V68" i="8" s="1"/>
  <c r="F43" i="19"/>
  <c r="G43" i="19" s="1"/>
  <c r="F40" i="19"/>
  <c r="G40" i="19" s="1"/>
  <c r="F42" i="19"/>
  <c r="G42" i="19" s="1"/>
  <c r="F41" i="19"/>
  <c r="G41" i="19" s="1"/>
  <c r="E25" i="19"/>
  <c r="F25" i="19"/>
  <c r="G25" i="19" s="1"/>
  <c r="B50" i="18"/>
  <c r="E20" i="18"/>
  <c r="E19" i="18"/>
  <c r="B44" i="18"/>
  <c r="B20" i="18"/>
  <c r="B19" i="18"/>
  <c r="M25" i="20" l="1"/>
  <c r="J27" i="20"/>
  <c r="K26" i="20"/>
  <c r="L26" i="20"/>
  <c r="K4" i="20"/>
  <c r="M4" i="20" s="1"/>
  <c r="J3" i="20"/>
  <c r="M26" i="20" l="1"/>
  <c r="L27" i="20"/>
  <c r="K27" i="20"/>
  <c r="J28" i="20"/>
  <c r="K3" i="20"/>
  <c r="M3" i="20" s="1"/>
  <c r="J2" i="20"/>
  <c r="K2" i="20" s="1"/>
  <c r="M2" i="20" s="1"/>
  <c r="B40" i="18"/>
  <c r="B39" i="18"/>
  <c r="B38" i="18"/>
  <c r="B37" i="18"/>
  <c r="B36" i="18"/>
  <c r="N15" i="20" l="1"/>
  <c r="E35" i="18" s="1"/>
  <c r="M27" i="20"/>
  <c r="L28" i="20"/>
  <c r="J29" i="20"/>
  <c r="K28" i="20"/>
  <c r="B29" i="18"/>
  <c r="B30" i="18"/>
  <c r="E14" i="18"/>
  <c r="E12" i="18"/>
  <c r="Y20" i="18" l="1"/>
  <c r="J30" i="20"/>
  <c r="L29" i="20"/>
  <c r="K29" i="20"/>
  <c r="M28" i="20"/>
  <c r="B34" i="18"/>
  <c r="C10" i="8"/>
  <c r="C13" i="8"/>
  <c r="C9" i="8"/>
  <c r="C14" i="8"/>
  <c r="C12" i="8"/>
  <c r="C11" i="8"/>
  <c r="C15" i="8"/>
  <c r="C8" i="8"/>
  <c r="C7" i="8"/>
  <c r="C6" i="8"/>
  <c r="B62" i="8" s="1"/>
  <c r="C5" i="8"/>
  <c r="F34" i="8" l="1"/>
  <c r="F32" i="8"/>
  <c r="F30" i="8"/>
  <c r="F33" i="8"/>
  <c r="F31" i="8"/>
  <c r="M29" i="20"/>
  <c r="J31" i="20"/>
  <c r="L30" i="20"/>
  <c r="K30" i="20"/>
  <c r="F48" i="8"/>
  <c r="B33" i="18"/>
  <c r="B14" i="18"/>
  <c r="B12" i="18"/>
  <c r="M30" i="20" l="1"/>
  <c r="J32" i="20"/>
  <c r="K31" i="20"/>
  <c r="L31" i="20"/>
  <c r="E12" i="8"/>
  <c r="E11" i="8"/>
  <c r="B12" i="8"/>
  <c r="B11" i="8"/>
  <c r="M31" i="20" l="1"/>
  <c r="L32" i="20"/>
  <c r="J33" i="20"/>
  <c r="K32" i="20"/>
  <c r="B29" i="8"/>
  <c r="B37" i="8"/>
  <c r="M32" i="20" l="1"/>
  <c r="L33" i="20"/>
  <c r="K33" i="20"/>
  <c r="J34" i="20"/>
  <c r="E17" i="8"/>
  <c r="M33" i="20" l="1"/>
  <c r="L34" i="20"/>
  <c r="J35" i="20"/>
  <c r="K34" i="20"/>
  <c r="D28" i="19"/>
  <c r="E28" i="19" s="1"/>
  <c r="T124" i="19"/>
  <c r="T124" i="8"/>
  <c r="T124" i="18"/>
  <c r="K35" i="20" l="1"/>
  <c r="J36" i="20"/>
  <c r="L35" i="20"/>
  <c r="M34" i="20"/>
  <c r="F28" i="19"/>
  <c r="G28" i="19" s="1"/>
  <c r="E48" i="8"/>
  <c r="M35" i="20" l="1"/>
  <c r="J37" i="20"/>
  <c r="K36" i="20"/>
  <c r="L36" i="20"/>
  <c r="G48" i="8"/>
  <c r="L53" i="8"/>
  <c r="B17" i="8"/>
  <c r="J17" i="8"/>
  <c r="M36" i="20" l="1"/>
  <c r="L37" i="20"/>
  <c r="K37" i="20"/>
  <c r="J38" i="20"/>
  <c r="D49" i="18"/>
  <c r="G30" i="8"/>
  <c r="G31" i="8"/>
  <c r="G32" i="8"/>
  <c r="G33" i="8"/>
  <c r="G34" i="8"/>
  <c r="E30" i="8"/>
  <c r="E31" i="8"/>
  <c r="E32" i="8"/>
  <c r="E33" i="8"/>
  <c r="E34" i="8"/>
  <c r="M37" i="20" l="1"/>
  <c r="L38" i="20"/>
  <c r="J39" i="20"/>
  <c r="K38" i="20"/>
  <c r="J12" i="14"/>
  <c r="H12" i="14"/>
  <c r="Z10" i="14"/>
  <c r="Y10" i="14"/>
  <c r="X10" i="14"/>
  <c r="W10" i="14"/>
  <c r="V10" i="14"/>
  <c r="J10" i="14"/>
  <c r="G10" i="14"/>
  <c r="F10" i="14"/>
  <c r="E10" i="14"/>
  <c r="D10" i="14"/>
  <c r="J6" i="14"/>
  <c r="H6" i="14"/>
  <c r="J5" i="14"/>
  <c r="X6" i="14"/>
  <c r="W6" i="14"/>
  <c r="V6" i="14"/>
  <c r="X5" i="14"/>
  <c r="W5" i="14"/>
  <c r="V5" i="14"/>
  <c r="Z4" i="14"/>
  <c r="Y4" i="14"/>
  <c r="X4" i="14"/>
  <c r="W4" i="14"/>
  <c r="V4" i="14"/>
  <c r="T4" i="14"/>
  <c r="R4" i="14"/>
  <c r="P4" i="14"/>
  <c r="N4" i="14"/>
  <c r="L4" i="14"/>
  <c r="J4" i="14"/>
  <c r="O4" i="14"/>
  <c r="Q4" i="14"/>
  <c r="S4" i="14"/>
  <c r="U4" i="14"/>
  <c r="M4" i="14"/>
  <c r="L39" i="20" l="1"/>
  <c r="J40" i="20"/>
  <c r="K39" i="20"/>
  <c r="M38" i="20"/>
  <c r="B18" i="16"/>
  <c r="B19" i="16"/>
  <c r="B20" i="16"/>
  <c r="B21" i="16"/>
  <c r="B17" i="16"/>
  <c r="B11" i="16"/>
  <c r="B30" i="16" s="1"/>
  <c r="B12" i="16"/>
  <c r="B13" i="16"/>
  <c r="B14" i="16"/>
  <c r="B10" i="16"/>
  <c r="C14" i="16" s="1"/>
  <c r="A7" i="16"/>
  <c r="A29" i="16" s="1"/>
  <c r="A6" i="16"/>
  <c r="C6" i="16" s="1"/>
  <c r="L40" i="20" l="1"/>
  <c r="K40" i="20"/>
  <c r="J41" i="20"/>
  <c r="M39" i="20"/>
  <c r="C21" i="16"/>
  <c r="C18" i="16"/>
  <c r="C20" i="16"/>
  <c r="C12" i="16"/>
  <c r="C11" i="16"/>
  <c r="C13" i="16"/>
  <c r="B29" i="16"/>
  <c r="B38" i="8"/>
  <c r="M40" i="20" l="1"/>
  <c r="K41" i="20"/>
  <c r="L41" i="20"/>
  <c r="J42" i="20"/>
  <c r="C32" i="16"/>
  <c r="C33" i="16" s="1"/>
  <c r="D28" i="8"/>
  <c r="F28" i="8" s="1"/>
  <c r="B60" i="8"/>
  <c r="B51" i="8"/>
  <c r="B50" i="8"/>
  <c r="B39" i="8"/>
  <c r="B36" i="8"/>
  <c r="B35" i="8"/>
  <c r="B28" i="8"/>
  <c r="B25" i="8"/>
  <c r="B24" i="8"/>
  <c r="L42" i="20" l="1"/>
  <c r="K42" i="20"/>
  <c r="M41" i="20"/>
  <c r="G28" i="8"/>
  <c r="E28" i="8"/>
  <c r="C6" i="15"/>
  <c r="B29" i="15"/>
  <c r="A29" i="15"/>
  <c r="B30" i="15"/>
  <c r="C21" i="15"/>
  <c r="C20" i="15"/>
  <c r="C18" i="15"/>
  <c r="C14" i="15"/>
  <c r="C13" i="15"/>
  <c r="C12" i="15"/>
  <c r="C11" i="15"/>
  <c r="M42" i="20" l="1"/>
  <c r="D33" i="18"/>
  <c r="F40" i="8"/>
  <c r="F43" i="8"/>
  <c r="F41" i="8"/>
  <c r="F42" i="8"/>
  <c r="C32" i="15"/>
  <c r="C33" i="15" s="1"/>
  <c r="P22" i="14"/>
  <c r="G42" i="8" l="1"/>
  <c r="E42" i="8"/>
  <c r="E41" i="8"/>
  <c r="G41" i="8"/>
  <c r="E43" i="8"/>
  <c r="G43" i="8"/>
  <c r="G40" i="8"/>
  <c r="E40" i="8"/>
  <c r="P52" i="14"/>
  <c r="P51" i="14"/>
  <c r="AC4" i="14" s="1"/>
  <c r="P50" i="14"/>
  <c r="AD4" i="14" s="1"/>
  <c r="P23" i="14" l="1"/>
  <c r="P24" i="14" s="1"/>
  <c r="P29" i="14" l="1"/>
  <c r="P28" i="14"/>
  <c r="P27" i="14"/>
  <c r="P26" i="14"/>
  <c r="P25" i="14"/>
  <c r="C27" i="19" s="1"/>
  <c r="C22" i="19"/>
  <c r="C23" i="19" s="1"/>
  <c r="B23" i="19" s="1"/>
  <c r="P48" i="14"/>
  <c r="P47" i="14"/>
  <c r="P46" i="14"/>
  <c r="D25" i="8" s="1"/>
  <c r="F25" i="8" s="1"/>
  <c r="P45" i="14"/>
  <c r="P44" i="14"/>
  <c r="P34" i="14"/>
  <c r="D29" i="8" s="1"/>
  <c r="F29" i="8" s="1"/>
  <c r="P42" i="14"/>
  <c r="P41" i="14"/>
  <c r="P40" i="14"/>
  <c r="P32" i="14"/>
  <c r="D38" i="8" s="1"/>
  <c r="F38" i="8" s="1"/>
  <c r="P33" i="14"/>
  <c r="P39" i="14"/>
  <c r="P37" i="14"/>
  <c r="P36" i="14"/>
  <c r="P43" i="14"/>
  <c r="P35" i="14"/>
  <c r="D24" i="19" l="1"/>
  <c r="E24" i="19" s="1"/>
  <c r="P57" i="14"/>
  <c r="D29" i="19"/>
  <c r="E29" i="19" s="1"/>
  <c r="D26" i="19"/>
  <c r="E26" i="19" s="1"/>
  <c r="E38" i="8"/>
  <c r="B32" i="18"/>
  <c r="B27" i="18"/>
  <c r="B28" i="18"/>
  <c r="G25" i="8"/>
  <c r="C22" i="8"/>
  <c r="C27" i="8"/>
  <c r="G29" i="8"/>
  <c r="E29" i="8"/>
  <c r="D39" i="8"/>
  <c r="F39" i="8" s="1"/>
  <c r="D24" i="8"/>
  <c r="F24" i="8" s="1"/>
  <c r="E25" i="8"/>
  <c r="P38" i="14"/>
  <c r="D26" i="8"/>
  <c r="F26" i="8" s="1"/>
  <c r="K5" i="14"/>
  <c r="K6" i="14"/>
  <c r="K10" i="14"/>
  <c r="K12" i="14"/>
  <c r="K13" i="14"/>
  <c r="F24" i="19" l="1"/>
  <c r="G24" i="19" s="1"/>
  <c r="D30" i="18"/>
  <c r="F26" i="19"/>
  <c r="G26" i="19" s="1"/>
  <c r="F29" i="19"/>
  <c r="G29" i="19" s="1"/>
  <c r="D34" i="18"/>
  <c r="G24" i="8"/>
  <c r="G26" i="8"/>
  <c r="E39" i="8"/>
  <c r="E24" i="8"/>
  <c r="E26" i="8"/>
  <c r="F19" i="14"/>
  <c r="G38" i="8" l="1"/>
  <c r="D39" i="18"/>
  <c r="D31" i="18"/>
  <c r="B31" i="18" s="1"/>
  <c r="D29" i="18"/>
  <c r="G39" i="8" l="1"/>
  <c r="D40" i="18" s="1"/>
  <c r="X19" i="14"/>
  <c r="X18" i="14"/>
  <c r="AA19" i="14"/>
  <c r="AA18" i="14"/>
  <c r="AA14" i="14"/>
  <c r="AJ13" i="14"/>
  <c r="AA13" i="14"/>
  <c r="H13" i="14"/>
  <c r="AJ12" i="14"/>
  <c r="AA12" i="14"/>
  <c r="I12" i="14"/>
  <c r="AJ11" i="14"/>
  <c r="AA11" i="14"/>
  <c r="Z11" i="14"/>
  <c r="Y11" i="14"/>
  <c r="X11" i="14"/>
  <c r="W11" i="14"/>
  <c r="V11" i="14"/>
  <c r="J11" i="14"/>
  <c r="K11" i="14" s="1"/>
  <c r="G11" i="14"/>
  <c r="F11" i="14"/>
  <c r="E11" i="14"/>
  <c r="D11" i="14"/>
  <c r="AJ10" i="14"/>
  <c r="AD10" i="14"/>
  <c r="AA10" i="14"/>
  <c r="AJ9" i="14"/>
  <c r="AA9" i="14"/>
  <c r="AJ8" i="14"/>
  <c r="AA8" i="14"/>
  <c r="AJ7" i="14"/>
  <c r="AA7" i="14"/>
  <c r="X7" i="14"/>
  <c r="W7" i="14"/>
  <c r="V7" i="14"/>
  <c r="V8" i="14" s="1"/>
  <c r="J7" i="14"/>
  <c r="K7" i="14" s="1"/>
  <c r="H7" i="14"/>
  <c r="I7" i="14" s="1"/>
  <c r="AJ6" i="14"/>
  <c r="AA6" i="14"/>
  <c r="I6" i="14"/>
  <c r="AJ5" i="14"/>
  <c r="AA5" i="14"/>
  <c r="Z5" i="14"/>
  <c r="Y5" i="14"/>
  <c r="U5" i="14"/>
  <c r="U6" i="14" s="1"/>
  <c r="U7" i="14" s="1"/>
  <c r="U8" i="14" s="1"/>
  <c r="U9" i="14" s="1"/>
  <c r="U10" i="14" s="1"/>
  <c r="U11" i="14" s="1"/>
  <c r="U12" i="14" s="1"/>
  <c r="U13" i="14" s="1"/>
  <c r="T5" i="14"/>
  <c r="T6" i="14" s="1"/>
  <c r="T7" i="14" s="1"/>
  <c r="T8" i="14" s="1"/>
  <c r="T9" i="14" s="1"/>
  <c r="T10" i="14" s="1"/>
  <c r="T11" i="14" s="1"/>
  <c r="T12" i="14" s="1"/>
  <c r="T13" i="14" s="1"/>
  <c r="S5" i="14"/>
  <c r="S6" i="14" s="1"/>
  <c r="S7" i="14" s="1"/>
  <c r="S8" i="14" s="1"/>
  <c r="S9" i="14" s="1"/>
  <c r="S10" i="14" s="1"/>
  <c r="S11" i="14" s="1"/>
  <c r="S12" i="14" s="1"/>
  <c r="S13" i="14" s="1"/>
  <c r="R5" i="14"/>
  <c r="R6" i="14" s="1"/>
  <c r="R7" i="14" s="1"/>
  <c r="R8" i="14" s="1"/>
  <c r="R9" i="14" s="1"/>
  <c r="R10" i="14" s="1"/>
  <c r="R11" i="14" s="1"/>
  <c r="R12" i="14" s="1"/>
  <c r="R13" i="14" s="1"/>
  <c r="Q5" i="14"/>
  <c r="Q6" i="14" s="1"/>
  <c r="Q7" i="14" s="1"/>
  <c r="Q8" i="14" s="1"/>
  <c r="Q9" i="14" s="1"/>
  <c r="Q10" i="14" s="1"/>
  <c r="Q11" i="14" s="1"/>
  <c r="Q12" i="14" s="1"/>
  <c r="Q13" i="14" s="1"/>
  <c r="P5" i="14"/>
  <c r="P6" i="14" s="1"/>
  <c r="P7" i="14" s="1"/>
  <c r="P8" i="14" s="1"/>
  <c r="P9" i="14" s="1"/>
  <c r="P10" i="14" s="1"/>
  <c r="P11" i="14" s="1"/>
  <c r="P12" i="14" s="1"/>
  <c r="P13" i="14" s="1"/>
  <c r="O5" i="14"/>
  <c r="O6" i="14" s="1"/>
  <c r="O7" i="14" s="1"/>
  <c r="O8" i="14" s="1"/>
  <c r="O9" i="14" s="1"/>
  <c r="O10" i="14" s="1"/>
  <c r="O11" i="14" s="1"/>
  <c r="O12" i="14" s="1"/>
  <c r="O13" i="14" s="1"/>
  <c r="N5" i="14"/>
  <c r="N6" i="14" s="1"/>
  <c r="N7" i="14" s="1"/>
  <c r="N8" i="14" s="1"/>
  <c r="N9" i="14" s="1"/>
  <c r="N10" i="14" s="1"/>
  <c r="N11" i="14" s="1"/>
  <c r="N12" i="14" s="1"/>
  <c r="N13" i="14" s="1"/>
  <c r="M5" i="14"/>
  <c r="M6" i="14" s="1"/>
  <c r="M7" i="14" s="1"/>
  <c r="M8" i="14" s="1"/>
  <c r="M9" i="14" s="1"/>
  <c r="M10" i="14" s="1"/>
  <c r="M11" i="14" s="1"/>
  <c r="M12" i="14" s="1"/>
  <c r="M13" i="14" s="1"/>
  <c r="L5" i="14"/>
  <c r="L6" i="14" s="1"/>
  <c r="L7" i="14" s="1"/>
  <c r="L8" i="14" s="1"/>
  <c r="L9" i="14" s="1"/>
  <c r="L10" i="14" s="1"/>
  <c r="L11" i="14" s="1"/>
  <c r="L12" i="14" s="1"/>
  <c r="L13" i="14" s="1"/>
  <c r="AJ4" i="14"/>
  <c r="AE4" i="14"/>
  <c r="AA4" i="14"/>
  <c r="K4" i="14"/>
  <c r="AD11" i="14" l="1"/>
  <c r="AD12" i="14" s="1"/>
  <c r="AB10" i="14"/>
  <c r="F12" i="14"/>
  <c r="Z6" i="14"/>
  <c r="X8" i="14"/>
  <c r="W12" i="14"/>
  <c r="G12" i="14"/>
  <c r="AD5" i="14"/>
  <c r="Y6" i="14"/>
  <c r="V9" i="14"/>
  <c r="V12" i="14"/>
  <c r="AB4" i="14"/>
  <c r="AB5" i="14"/>
  <c r="AB8" i="14"/>
  <c r="X12" i="14"/>
  <c r="AB13" i="14"/>
  <c r="AB6" i="14"/>
  <c r="AC5" i="14"/>
  <c r="W8" i="14"/>
  <c r="D12" i="14"/>
  <c r="Y12" i="14"/>
  <c r="AB9" i="14"/>
  <c r="E12" i="14"/>
  <c r="Z12" i="14"/>
  <c r="AB12" i="14"/>
  <c r="AA15" i="14"/>
  <c r="AB7" i="14"/>
  <c r="AB11" i="14"/>
  <c r="AA16" i="14"/>
  <c r="AA17" i="14"/>
  <c r="AE5" i="14"/>
  <c r="J8" i="14"/>
  <c r="K8" i="14" s="1"/>
  <c r="H8" i="14"/>
  <c r="H9" i="14" s="1"/>
  <c r="I13" i="14"/>
  <c r="V13" i="14" l="1"/>
  <c r="J9" i="14"/>
  <c r="K9" i="14" s="1"/>
  <c r="Z13" i="14"/>
  <c r="Y13" i="14"/>
  <c r="W13" i="14"/>
  <c r="I8" i="14"/>
  <c r="X9" i="14"/>
  <c r="AE6" i="14"/>
  <c r="D13" i="14"/>
  <c r="Y7" i="14"/>
  <c r="Z7" i="14"/>
  <c r="W9" i="14"/>
  <c r="AD13" i="14"/>
  <c r="E13" i="14"/>
  <c r="AD6" i="14"/>
  <c r="AC6" i="14"/>
  <c r="X13" i="14"/>
  <c r="G13" i="14"/>
  <c r="F13" i="14"/>
  <c r="I9" i="14"/>
  <c r="H10" i="14"/>
  <c r="AC7" i="14" l="1"/>
  <c r="Y8" i="14"/>
  <c r="Z8" i="14"/>
  <c r="Z9" i="14" s="1"/>
  <c r="AD7" i="14"/>
  <c r="AE7" i="14"/>
  <c r="H11" i="14"/>
  <c r="I10" i="14"/>
  <c r="AE8" i="14" l="1"/>
  <c r="Y9" i="14"/>
  <c r="AC8" i="14"/>
  <c r="AD8" i="14"/>
  <c r="I11" i="14"/>
  <c r="AC9" i="14" l="1"/>
  <c r="AD9" i="14"/>
  <c r="AE9" i="14"/>
  <c r="AC10" i="14" l="1"/>
  <c r="AH10" i="14" s="1"/>
  <c r="AE10" i="14"/>
  <c r="AE11" i="14" l="1"/>
  <c r="AC11" i="14"/>
  <c r="AH11" i="14" s="1"/>
  <c r="AC12" i="14" l="1"/>
  <c r="AH12" i="14" s="1"/>
  <c r="AE12" i="14"/>
  <c r="C51" i="8"/>
  <c r="AC13" i="14" l="1"/>
  <c r="AH13" i="14" s="1"/>
  <c r="AE13" i="14"/>
  <c r="C50" i="8"/>
  <c r="C49" i="8"/>
  <c r="B49" i="8"/>
  <c r="AE14" i="14" l="1"/>
  <c r="AE15" i="14" s="1"/>
  <c r="AE16" i="14" l="1"/>
  <c r="AE17" i="14" l="1"/>
  <c r="AE18" i="14" l="1"/>
  <c r="AE19" i="14" s="1"/>
  <c r="C23" i="8" l="1"/>
  <c r="B23" i="8" s="1"/>
  <c r="G4" i="14" l="1"/>
  <c r="G5" i="14" s="1"/>
  <c r="G6" i="14" s="1"/>
  <c r="G7" i="14" s="1"/>
  <c r="G8" i="14" s="1"/>
  <c r="G9" i="14" s="1"/>
  <c r="F4" i="14"/>
  <c r="F5" i="14" s="1"/>
  <c r="F6" i="14" s="1"/>
  <c r="F7" i="14" s="1"/>
  <c r="F8" i="14" s="1"/>
  <c r="F9" i="14" s="1"/>
  <c r="H4" i="14"/>
  <c r="I4" i="14" s="1"/>
  <c r="AH4" i="14" s="1"/>
  <c r="D4" i="14"/>
  <c r="D5" i="14" s="1"/>
  <c r="E4" i="14"/>
  <c r="E5" i="14" s="1"/>
  <c r="P31" i="14" l="1"/>
  <c r="P30" i="14"/>
  <c r="D35" i="8"/>
  <c r="D36" i="8"/>
  <c r="D22" i="19"/>
  <c r="D23" i="19"/>
  <c r="F18" i="14"/>
  <c r="D6" i="14"/>
  <c r="H5" i="14"/>
  <c r="I5" i="14" s="1"/>
  <c r="AH5" i="14" s="1"/>
  <c r="E6" i="14"/>
  <c r="AH6" i="14" s="1"/>
  <c r="F36" i="8" l="1"/>
  <c r="E36" i="8"/>
  <c r="F35" i="8"/>
  <c r="E35" i="8"/>
  <c r="AR13" i="14"/>
  <c r="AG4" i="14"/>
  <c r="AG10" i="14"/>
  <c r="AK10" i="14" s="1"/>
  <c r="AL10" i="14" s="1"/>
  <c r="AG11" i="14"/>
  <c r="AG12" i="14"/>
  <c r="AK12" i="14" s="1"/>
  <c r="AL12" i="14" s="1"/>
  <c r="AG13" i="14"/>
  <c r="AM13" i="14" s="1"/>
  <c r="AN13" i="14" s="1"/>
  <c r="D7" i="14"/>
  <c r="AG7" i="14" s="1"/>
  <c r="AG6" i="14"/>
  <c r="AK6" i="14" s="1"/>
  <c r="AL6" i="14" s="1"/>
  <c r="AG5" i="14"/>
  <c r="D27" i="19"/>
  <c r="F27" i="19" s="1"/>
  <c r="G27" i="19" s="1"/>
  <c r="P54" i="14"/>
  <c r="D59" i="19" s="1"/>
  <c r="P55" i="14"/>
  <c r="D37" i="8"/>
  <c r="E37" i="8" s="1"/>
  <c r="P56" i="14"/>
  <c r="AR5" i="14"/>
  <c r="E23" i="19"/>
  <c r="F23" i="19"/>
  <c r="G23" i="19" s="1"/>
  <c r="E22" i="19"/>
  <c r="F22" i="19"/>
  <c r="D45" i="19"/>
  <c r="D27" i="8"/>
  <c r="E27" i="8" s="1"/>
  <c r="D23" i="8"/>
  <c r="AR4" i="14"/>
  <c r="AR11" i="14"/>
  <c r="AR10" i="14"/>
  <c r="AR12" i="14"/>
  <c r="AM4" i="14"/>
  <c r="AN4" i="14" s="1"/>
  <c r="D22" i="8"/>
  <c r="F22" i="8" s="1"/>
  <c r="G36" i="8"/>
  <c r="G35" i="8"/>
  <c r="AM11" i="14"/>
  <c r="AN11" i="14" s="1"/>
  <c r="AR6" i="14"/>
  <c r="D8" i="14"/>
  <c r="AG8" i="14" s="1"/>
  <c r="E7" i="14"/>
  <c r="AH7" i="14" s="1"/>
  <c r="F37" i="8" l="1"/>
  <c r="G37" i="8" s="1"/>
  <c r="E23" i="8"/>
  <c r="F23" i="8"/>
  <c r="G23" i="8" s="1"/>
  <c r="F27" i="8"/>
  <c r="G27" i="8" s="1"/>
  <c r="E27" i="19"/>
  <c r="E45" i="19" s="1"/>
  <c r="D44" i="18" s="1"/>
  <c r="AR7" i="14"/>
  <c r="Q55" i="14"/>
  <c r="P58" i="14"/>
  <c r="D45" i="8"/>
  <c r="G22" i="19"/>
  <c r="G45" i="19" s="1"/>
  <c r="F45" i="19"/>
  <c r="D62" i="19"/>
  <c r="D37" i="18"/>
  <c r="D32" i="18"/>
  <c r="D36" i="18"/>
  <c r="D59" i="8"/>
  <c r="E36" i="18" s="1"/>
  <c r="AI12" i="14"/>
  <c r="AO12" i="14" s="1"/>
  <c r="AP12" i="14" s="1"/>
  <c r="AM12" i="14"/>
  <c r="AN12" i="14" s="1"/>
  <c r="AI4" i="14"/>
  <c r="AO4" i="14" s="1"/>
  <c r="AP4" i="14" s="1"/>
  <c r="AK4" i="14"/>
  <c r="AL4" i="14" s="1"/>
  <c r="AM10" i="14"/>
  <c r="AN10" i="14" s="1"/>
  <c r="AK13" i="14"/>
  <c r="AL13" i="14" s="1"/>
  <c r="AI13" i="14"/>
  <c r="AO13" i="14" s="1"/>
  <c r="AP13" i="14" s="1"/>
  <c r="AI11" i="14"/>
  <c r="AO11" i="14" s="1"/>
  <c r="AP11" i="14" s="1"/>
  <c r="AK11" i="14"/>
  <c r="AL11" i="14" s="1"/>
  <c r="AI10" i="14"/>
  <c r="AO10" i="14" s="1"/>
  <c r="AP10" i="14" s="1"/>
  <c r="E22" i="8"/>
  <c r="AK5" i="14"/>
  <c r="AL5" i="14" s="1"/>
  <c r="AM5" i="14"/>
  <c r="AN5" i="14" s="1"/>
  <c r="AI5" i="14"/>
  <c r="AR8" i="14"/>
  <c r="D9" i="14"/>
  <c r="AG9" i="14" s="1"/>
  <c r="AI6" i="14"/>
  <c r="AM6" i="14"/>
  <c r="AN6" i="14" s="1"/>
  <c r="E8" i="14"/>
  <c r="AH8" i="14" s="1"/>
  <c r="AI7" i="14"/>
  <c r="AK7" i="14"/>
  <c r="AL7" i="14" s="1"/>
  <c r="E45" i="8" l="1"/>
  <c r="D28" i="18"/>
  <c r="D38" i="18"/>
  <c r="D58" i="18"/>
  <c r="O17" i="20"/>
  <c r="O18" i="20" s="1"/>
  <c r="I50" i="19"/>
  <c r="D50" i="19"/>
  <c r="D49" i="19"/>
  <c r="I49" i="19"/>
  <c r="E59" i="8"/>
  <c r="E60" i="8" s="1"/>
  <c r="F59" i="8"/>
  <c r="B24" i="15"/>
  <c r="B39" i="16"/>
  <c r="B24" i="16" s="1"/>
  <c r="D62" i="8"/>
  <c r="G22" i="8"/>
  <c r="G45" i="8" s="1"/>
  <c r="F45" i="8"/>
  <c r="AO5" i="14"/>
  <c r="AP5" i="14" s="1"/>
  <c r="AO7" i="14"/>
  <c r="AP7" i="14" s="1"/>
  <c r="AM7" i="14"/>
  <c r="AN7" i="14" s="1"/>
  <c r="AO6" i="14"/>
  <c r="AP6" i="14" s="1"/>
  <c r="E9" i="14"/>
  <c r="AH9" i="14" s="1"/>
  <c r="AI9" i="14" s="1"/>
  <c r="AM8" i="14"/>
  <c r="AK8" i="14"/>
  <c r="AL8" i="14" s="1"/>
  <c r="AR9" i="14"/>
  <c r="D51" i="19" l="1"/>
  <c r="D60" i="19" s="1"/>
  <c r="I51" i="19"/>
  <c r="E49" i="19"/>
  <c r="F49" i="19"/>
  <c r="F51" i="19"/>
  <c r="G51" i="19" s="1"/>
  <c r="E50" i="19"/>
  <c r="F50" i="19"/>
  <c r="G50" i="19" s="1"/>
  <c r="G59" i="8"/>
  <c r="F60" i="8"/>
  <c r="I49" i="8"/>
  <c r="E62" i="8"/>
  <c r="D49" i="8"/>
  <c r="I51" i="8" s="1"/>
  <c r="F62" i="8"/>
  <c r="G62" i="8" s="1"/>
  <c r="I50" i="8"/>
  <c r="D50" i="8"/>
  <c r="F50" i="8" s="1"/>
  <c r="G50" i="8" s="1"/>
  <c r="D27" i="18"/>
  <c r="D46" i="18" s="1"/>
  <c r="AI8" i="14"/>
  <c r="AN8" i="14"/>
  <c r="AM9" i="14"/>
  <c r="AN9" i="14" s="1"/>
  <c r="AK9" i="14"/>
  <c r="AL9" i="14" s="1"/>
  <c r="E51" i="19" l="1"/>
  <c r="E55" i="19" s="1"/>
  <c r="E57" i="19" s="1"/>
  <c r="D51" i="8"/>
  <c r="F49" i="8"/>
  <c r="G49" i="8" s="1"/>
  <c r="E49" i="8"/>
  <c r="F51" i="8"/>
  <c r="G49" i="19"/>
  <c r="G55" i="19" s="1"/>
  <c r="G57" i="19" s="1"/>
  <c r="F55" i="19"/>
  <c r="F57" i="19" s="1"/>
  <c r="D61" i="18"/>
  <c r="E50" i="8"/>
  <c r="D51" i="18" s="1"/>
  <c r="G60" i="8"/>
  <c r="D60" i="8"/>
  <c r="E51" i="8"/>
  <c r="AO9" i="14"/>
  <c r="AP9" i="14" s="1"/>
  <c r="AO8" i="14"/>
  <c r="AP8" i="14" s="1"/>
  <c r="E55" i="8" l="1"/>
  <c r="E57" i="8" s="1"/>
  <c r="F55" i="8"/>
  <c r="F57" i="8" s="1"/>
  <c r="B40" i="16"/>
  <c r="B28" i="16" s="1"/>
  <c r="B32" i="16" s="1"/>
  <c r="B33" i="16" s="1"/>
  <c r="B34" i="16" s="1"/>
  <c r="B35" i="16" s="1"/>
  <c r="D59" i="18"/>
  <c r="D52" i="18"/>
  <c r="G51" i="8"/>
  <c r="G55" i="8" s="1"/>
  <c r="G57" i="8" s="1"/>
  <c r="B28" i="15"/>
  <c r="B32" i="15" s="1"/>
  <c r="B33" i="15" s="1"/>
  <c r="B34" i="15" s="1"/>
  <c r="B35" i="15" s="1"/>
  <c r="O16" i="20" s="1"/>
  <c r="D50" i="18"/>
  <c r="C17" i="19" l="1"/>
  <c r="D52" i="19" s="1"/>
  <c r="D53" i="19" s="1"/>
  <c r="D55" i="19" s="1"/>
  <c r="D57" i="19" s="1"/>
  <c r="C17" i="8"/>
  <c r="D52" i="8" s="1"/>
  <c r="D53" i="8" s="1"/>
  <c r="C53" i="18"/>
  <c r="D53" i="18" s="1"/>
  <c r="D54" i="18" s="1"/>
  <c r="D56" i="18" s="1"/>
  <c r="E53" i="18"/>
  <c r="I17" i="19"/>
  <c r="J53" i="19" s="1"/>
  <c r="K53" i="19" s="1"/>
  <c r="K55" i="19" s="1"/>
  <c r="K57" i="19" s="1"/>
  <c r="I17" i="8"/>
  <c r="J53" i="8" s="1"/>
  <c r="K53" i="8" s="1"/>
  <c r="K55" i="8" s="1"/>
  <c r="K57" i="8" s="1"/>
  <c r="D55" i="8" l="1"/>
  <c r="D57" i="8" s="1"/>
</calcChain>
</file>

<file path=xl/sharedStrings.xml><?xml version="1.0" encoding="utf-8"?>
<sst xmlns="http://schemas.openxmlformats.org/spreadsheetml/2006/main" count="529" uniqueCount="284">
  <si>
    <t>Nivel</t>
  </si>
  <si>
    <t>Grupo</t>
  </si>
  <si>
    <t>Sueldo Base</t>
  </si>
  <si>
    <t xml:space="preserve">Trienios </t>
  </si>
  <si>
    <t>Residencia Isla Capitalina</t>
  </si>
  <si>
    <t>Residencia Isla No Capitalina</t>
  </si>
  <si>
    <t>Trienios Residencia Isla No Capitalina</t>
  </si>
  <si>
    <t>Director de Centros de Profesores</t>
  </si>
  <si>
    <t>Director de Residencia Escolar Permanente</t>
  </si>
  <si>
    <t>Director de Residencia Escolar</t>
  </si>
  <si>
    <t>Hora Lectiva Complementaria, Refuerzo Educativo. Grupo A2</t>
  </si>
  <si>
    <t>Jefe de Departamento</t>
  </si>
  <si>
    <t>Maestros de Ocio con Residencia Permanente</t>
  </si>
  <si>
    <t>MUFACE</t>
  </si>
  <si>
    <t>Encargado/a Comedor Gestión Directa. Módulo Hasta 100 comensales.</t>
  </si>
  <si>
    <t>Encargado/a Comedor Gestión Directa. Módulo De 101 a 300 comensales.</t>
  </si>
  <si>
    <t>Encargado/a Comedor Gestión Directa. Módulo Más de 300 comensales.</t>
  </si>
  <si>
    <t>Encargado/a Comedor Gestión Contratada. Módulo Hasta 100 comensales.</t>
  </si>
  <si>
    <t>Encargado/a Comedor Gestión Contratada. Módulo De 101 a 300 comensales.</t>
  </si>
  <si>
    <t>Encargado/a Comedor Gestión Contratada. Módulo Más de 300 comensales.</t>
  </si>
  <si>
    <t>Director/ra IES, CEO, EA. Centro Tipo A (1650 o más Alumnos)</t>
  </si>
  <si>
    <t>Director/ra IES, CEO, EA. Centro Tipo B (de 901 a 1649 Alumnos)</t>
  </si>
  <si>
    <t>Director/ra IES, CEO, EA. Centro Tipo C (de 581 a 900 Alumnos)</t>
  </si>
  <si>
    <t>Director/ra IES, CEO, EA. Centro Tipo D (hasta 580 Alumnos)</t>
  </si>
  <si>
    <t>Jefe Estudios IES, CEO, EA. Centro Tipo A (1650 o más Alumnos)</t>
  </si>
  <si>
    <t>Jefe Estudios IES, CEO, EA. Centro Tipo B (de 901 a 1649 Alumnos)</t>
  </si>
  <si>
    <t>Jefe Estudios IES, CEO, EA. Centro Tipo C (de 581 a 900 Alumnos)</t>
  </si>
  <si>
    <t>Jefe Estudios IES, CEO, EA. Centro Tipo D (hasta 580 Alumnos)</t>
  </si>
  <si>
    <t>Secretario/a IES, CEO, EA. Centro Tipo A (1650 o más Alumnos)</t>
  </si>
  <si>
    <t>Secretario/a IES, CEO, EA. Centro Tipo B (de 901 a 1649 Alumnos)</t>
  </si>
  <si>
    <t>Secretario/a IES, CEO, EA. Centro Tipo C (de 581 a 900 Alumnos)</t>
  </si>
  <si>
    <t>Secretario/a IES, CEO, EA. Centro Tipo D (hasta 580 Alumnos)</t>
  </si>
  <si>
    <t>Vicedirector/ra IES, CEO, EA. Centro Tipo A (1650 o más Alumnos)</t>
  </si>
  <si>
    <t>Vicedirector/ra IES, CEO, EA. Centro Tipo B (de 901 a 1649 Alumnos)</t>
  </si>
  <si>
    <t>Vicedirector/ra IES, CEO, EA. Centro Tipo C (de 581 a 900 Alumnos)</t>
  </si>
  <si>
    <t>Vicedirector/ra IES, CEO, EA. Centro Tipo D (hasta 580 Alumnos)</t>
  </si>
  <si>
    <t>Jefe Estudios Adjunto IES, CEO, EA. Centro Tipo A (1650 o más Alumnos)</t>
  </si>
  <si>
    <t>Jefe Estudios Adjunto IES, CEO, EA. Centro Tipo B (de 901 a 1649 Alumnos)</t>
  </si>
  <si>
    <t>Jefe Estudios Adjunto IES, CEO, EA. Centro Tipo C (de 581 a 900 Alumnos)</t>
  </si>
  <si>
    <t>Jefe Estudios Adjunto IES, CEO, EA. Centro Tipo D (hasta 580 Alumnos)</t>
  </si>
  <si>
    <t>Vicedirector/ra. CEIP, CEP, CEEE, EEI Tipo A (Más de 35 Unidades)</t>
  </si>
  <si>
    <t>Vicedirector/ra. CEIP, CEP, CEEE, EEI Tipo B (27 a 35 Unidades)</t>
  </si>
  <si>
    <t>Vicedirector/ra. CEIP, CEP, CEEE, EEI Tipo C (18 a 26 Unidades)</t>
  </si>
  <si>
    <t>N</t>
  </si>
  <si>
    <t>Trienios</t>
  </si>
  <si>
    <t>INGRESOS BRUTOS</t>
  </si>
  <si>
    <t>GASTOS</t>
  </si>
  <si>
    <t>S</t>
  </si>
  <si>
    <t>Junio</t>
  </si>
  <si>
    <t>Diciembre</t>
  </si>
  <si>
    <t>% Retención IRPF</t>
  </si>
  <si>
    <t>DESCUENTOS</t>
  </si>
  <si>
    <t>Maestros de Primero y Segundo de Enseñanza Secundaria Obligatoria</t>
  </si>
  <si>
    <t>A1</t>
  </si>
  <si>
    <t>Cuerpo Docente</t>
  </si>
  <si>
    <t>Funcionario</t>
  </si>
  <si>
    <t>Nómina con Paga Extraordinaria</t>
  </si>
  <si>
    <t>Interino</t>
  </si>
  <si>
    <t>Aragón</t>
  </si>
  <si>
    <t>Asturias</t>
  </si>
  <si>
    <t>Canarias</t>
  </si>
  <si>
    <t>Cantabria</t>
  </si>
  <si>
    <t>Extremadura</t>
  </si>
  <si>
    <t>Madrid (Comunidad de)</t>
  </si>
  <si>
    <t>Murcia (Región de)</t>
  </si>
  <si>
    <t>País Vasco</t>
  </si>
  <si>
    <t>Profesores Técnicos de Formación Profesional</t>
  </si>
  <si>
    <t>Profesores de Escuelas Oficiales de Idiomas</t>
  </si>
  <si>
    <t>Profesores de Artes Plásticas y Diseño</t>
  </si>
  <si>
    <t>Maestros de Taller de Artes Plásticas y Diseño</t>
  </si>
  <si>
    <t>Maestros</t>
  </si>
  <si>
    <t>510-Inspección</t>
  </si>
  <si>
    <t>511-Catedráticos</t>
  </si>
  <si>
    <t>590-Profesores Enseñanza Secundaria</t>
  </si>
  <si>
    <t>591-Profesores Técnicos de Formación Profesional</t>
  </si>
  <si>
    <t>592-Profesores de Escuelas Oficiales de Idiomas</t>
  </si>
  <si>
    <t>594-Profesores de Música y Artes Escénicas</t>
  </si>
  <si>
    <t>595-Profesores de Artes Plásticas y Diseño</t>
  </si>
  <si>
    <t>596-Maestros de Taller de Artes Plásticas y Diseño</t>
  </si>
  <si>
    <t>597-Maestros</t>
  </si>
  <si>
    <t>A2</t>
  </si>
  <si>
    <t>Profesores de Enseñanza Secundaria</t>
  </si>
  <si>
    <t>Profesores de Musica y Artes Escénicas</t>
  </si>
  <si>
    <t>J. Estudios. CEIP, CEP, CEEE, EEI, CEPA. Tipo A (Más de 35 Unidades)</t>
  </si>
  <si>
    <t>J. Estudios. CEIP, CEP, CEEE, EEI, CEPA. Tipo B (27 a 35 Unidades)</t>
  </si>
  <si>
    <t>J. Estudios. CEIP, CEP, CEEE, EEI, CEPA. Tipo C (18 a 26 Unidades)</t>
  </si>
  <si>
    <t>J. Estudios. CEIP, CEP, CEEE, EEI, CEPA. Tipo D (9 a 17 Unidades)</t>
  </si>
  <si>
    <t>Secretario/a. CEIP, CEP, CEEE, EEI, CEPA. Tipo A (Más de 35 Unidades)</t>
  </si>
  <si>
    <t>Secretario/a. CEIP, CEP, CEEE, EEI, CEPA. Tipo B (27 a 35 Unidades)</t>
  </si>
  <si>
    <t>Secretario/a. CEIP, CEP, CEEE, EEI, CEPA. Tipo C (18 a 26 Unidades)</t>
  </si>
  <si>
    <t>Secretario/a. CEIP, CEP, CEEE, EEI, CEPA. Tipo D (9 a 17 Unidades)</t>
  </si>
  <si>
    <t>Secretario/a. CEIP, CEP, CEEE, EEI, CEPA. Tipo E (6 a 8 Unidades)</t>
  </si>
  <si>
    <t>DATOS PARA EL CÁLCULO DEL % DE RETENCIÓN DE IRPF</t>
  </si>
  <si>
    <t>Cumplimentar las casillas de fondo amarillo</t>
  </si>
  <si>
    <t>CONTRIBUYENTE</t>
  </si>
  <si>
    <t>REDUCCIÓN</t>
  </si>
  <si>
    <t>Mínimo personal</t>
  </si>
  <si>
    <t>Discapacidad del contribuyente entre el 33% y el 65%</t>
  </si>
  <si>
    <t>NO</t>
  </si>
  <si>
    <t>Discapacidad del contribuyente igual o superior al 65%</t>
  </si>
  <si>
    <t>DESCENDIENTES, con rentas inferiores a 8.000€</t>
  </si>
  <si>
    <t>El contribuyente es el único que se desgrava por hijos.</t>
  </si>
  <si>
    <t>Número de hijos menores de veinticinco años o con discapacidad cualquiera que sea su edad</t>
  </si>
  <si>
    <t xml:space="preserve">De los anteriores, número de hijos menores de 3 años </t>
  </si>
  <si>
    <t xml:space="preserve">Número de descendientes con grado de discapacidad igual o mayor del 33% y menor del 65% </t>
  </si>
  <si>
    <t>Número de descendientes con grado de discapacidad igual o mayor del 65%</t>
  </si>
  <si>
    <t>ASCENDIENTES, que convivan y con rentas inferiores a 8.000€</t>
  </si>
  <si>
    <t xml:space="preserve">Número de contribuyentes que se aplican esta deducción </t>
  </si>
  <si>
    <t>Número de ascendientes mayores de 65 años o con discapacidad cualquiera que sea su edad</t>
  </si>
  <si>
    <t xml:space="preserve">De los anteriores, número de asecendientes con más de 75 años </t>
  </si>
  <si>
    <t>Número de ascendientes con grado de discapacidad igual o mayor del 33% y menor del 65%</t>
  </si>
  <si>
    <t>Número de ascendientes con grado de discapacidad igual o mayor del 65%</t>
  </si>
  <si>
    <t>SUELDO BRUTO</t>
  </si>
  <si>
    <t>Rendimiento Bruto</t>
  </si>
  <si>
    <t>DEDUCCIONES</t>
  </si>
  <si>
    <t>Rendimiento del trabajo</t>
  </si>
  <si>
    <t>3 o más hijos</t>
  </si>
  <si>
    <t>Base IRPF</t>
  </si>
  <si>
    <t>Cuota IRPF</t>
  </si>
  <si>
    <t>Cuota Final IRPF</t>
  </si>
  <si>
    <t>% de retención de IRPF</t>
  </si>
  <si>
    <t>Trabajador</t>
  </si>
  <si>
    <t>Empresa</t>
  </si>
  <si>
    <t>Seguridad Social y Cuota sindical</t>
  </si>
  <si>
    <t>Cuerpo</t>
  </si>
  <si>
    <t>E</t>
  </si>
  <si>
    <t>C2</t>
  </si>
  <si>
    <t>C1</t>
  </si>
  <si>
    <t>B</t>
  </si>
  <si>
    <t>Extra Sueldo Base</t>
  </si>
  <si>
    <t>SI</t>
  </si>
  <si>
    <t>Carrera (anterior a 1 enero 2011)</t>
  </si>
  <si>
    <t>Carrera (posterior a 1 enero 2011)</t>
  </si>
  <si>
    <t>Coordinador de Servicios Centrales. Tipo A1 (A)</t>
  </si>
  <si>
    <t>Coordinador de Servicios Centrales. Tipo A2 (B)</t>
  </si>
  <si>
    <t>Agosto</t>
  </si>
  <si>
    <t>Isla No Capitalina</t>
  </si>
  <si>
    <t>1 sexenio</t>
  </si>
  <si>
    <t>2 sexenios</t>
  </si>
  <si>
    <t>3 sexenios</t>
  </si>
  <si>
    <t>4 sexenios</t>
  </si>
  <si>
    <t>Residencia</t>
  </si>
  <si>
    <t>Extra Trienios</t>
  </si>
  <si>
    <t xml:space="preserve">Complem. Destino </t>
  </si>
  <si>
    <t xml:space="preserve">Extra Complem. Destino </t>
  </si>
  <si>
    <t>Complem. Específico</t>
  </si>
  <si>
    <t>Adicional Complem. Específico</t>
  </si>
  <si>
    <t>1 sexenio Extra</t>
  </si>
  <si>
    <t>2 sexenios Extra</t>
  </si>
  <si>
    <t>3 sexenios Extra</t>
  </si>
  <si>
    <t>4 sexenios Extra</t>
  </si>
  <si>
    <t>5 sexenios</t>
  </si>
  <si>
    <t>5 sexenios Extra</t>
  </si>
  <si>
    <t>Isla Capitalina</t>
  </si>
  <si>
    <t>Clase Pasivas</t>
  </si>
  <si>
    <t>Sexenios</t>
  </si>
  <si>
    <t>Destino</t>
  </si>
  <si>
    <t>Mes Bruto</t>
  </si>
  <si>
    <t>Extra Bruto</t>
  </si>
  <si>
    <t>Año Bruto</t>
  </si>
  <si>
    <t>IRPF</t>
  </si>
  <si>
    <t>IRPF Mes</t>
  </si>
  <si>
    <t>Mes Neto</t>
  </si>
  <si>
    <t>IRPF Mes Extra</t>
  </si>
  <si>
    <t>Mes Neto Extra</t>
  </si>
  <si>
    <t>IRPF Año</t>
  </si>
  <si>
    <t>Anual neto</t>
  </si>
  <si>
    <t>Indemnización MUFACE jubilación</t>
  </si>
  <si>
    <t>Inspector</t>
  </si>
  <si>
    <t>Catedrático</t>
  </si>
  <si>
    <t>Maestros 1º y 2º ESO</t>
  </si>
  <si>
    <t>Hora Lectiva Complementaria, Refuerzo Educativo. Grupo A1</t>
  </si>
  <si>
    <t>Coordinador EOEP</t>
  </si>
  <si>
    <t>Tutoría</t>
  </si>
  <si>
    <t>Coordinación en convivencia</t>
  </si>
  <si>
    <t>Coordinación en tecnologías de la información y la comunicación (TIC)</t>
  </si>
  <si>
    <t>Elaborado por DOCENTES DE CANARIAS-INSUCAN (DCI)</t>
  </si>
  <si>
    <t>Ingreso Bruto</t>
  </si>
  <si>
    <t>Coordinación en prevención de riesgos laborales</t>
  </si>
  <si>
    <t>Sin discapacidad</t>
  </si>
  <si>
    <t>Edad menor de 65 años</t>
  </si>
  <si>
    <t>Edad igual o mayor a 75 años</t>
  </si>
  <si>
    <t>Edad entre 65 y 75 años</t>
  </si>
  <si>
    <t>Elegir del menú desplegable</t>
  </si>
  <si>
    <t>Otras deducciones</t>
  </si>
  <si>
    <t>Otros complementos: Tutoría, Jefe departamento, AICLE/PILE, Coordinación</t>
  </si>
  <si>
    <t>Otros complementos: Encargado comedor, Director Centro Profesores, RE, …..</t>
  </si>
  <si>
    <t>Otros complementos: Cargos directivos de IES, CEO, EA</t>
  </si>
  <si>
    <t>Otros complementos: Cargos directivos de CEIP, CEEE, EEI, CEPA, CER</t>
  </si>
  <si>
    <t xml:space="preserve">Destino en Isla No Capitalina  </t>
  </si>
  <si>
    <t>Complemento Específico</t>
  </si>
  <si>
    <t xml:space="preserve">Complemento Destino </t>
  </si>
  <si>
    <t>SUELDO MENSUAL LIQUIDO A PERCIBIR</t>
  </si>
  <si>
    <t>SUELDO BRUTO ANUAL. Año completo</t>
  </si>
  <si>
    <t>Elegir el cuerpo docente</t>
  </si>
  <si>
    <t>Andalucía</t>
  </si>
  <si>
    <t>Baleares (Islas)</t>
  </si>
  <si>
    <t>Castilla y León</t>
  </si>
  <si>
    <t>Castilla-la Mancha</t>
  </si>
  <si>
    <t>Cataluña</t>
  </si>
  <si>
    <t>Comunidad Valenciana</t>
  </si>
  <si>
    <t>Galicia</t>
  </si>
  <si>
    <t>Navarra (Comunidad Foral de)</t>
  </si>
  <si>
    <t>Rioja (la)</t>
  </si>
  <si>
    <t>Director/ra CEIP, CEP, CEEE, EEI, CEPA. Coordinador CER. Tipo A (Más de 35 Unidades)</t>
  </si>
  <si>
    <t>Director/ra CEIP, CEP, CEEE, EEI, CEPA. Coordinador CER. Tipo B (27 a 35 Unidades)</t>
  </si>
  <si>
    <t>Director/ra CEIP, CEP, CEEE, EEI, CEPA. Coordinador CER. Tipo C (18 a 26 Unidades)</t>
  </si>
  <si>
    <t>Director/ra CEIP, CEP, CEEE, EEI, CEPA. Coordinador CER. Tipo D (9 a 17 Unidades)</t>
  </si>
  <si>
    <t>Director/ra CEIP, CEP, CEEE, EEI, CEPA. Coordinador CER. Tipo E (6 a 8 Unidades)</t>
  </si>
  <si>
    <t>Director/ra CEIP, CEP, CEEE, EEI, CEPA. Coordinador CER. Tipo F (1 a 5 Unidades)</t>
  </si>
  <si>
    <t>Cuota Afiliación DOCENTES DE CANARIAS-INSUCAN (DCI)</t>
  </si>
  <si>
    <t>Otro complemento no incluido en relación anterior, introducirlo</t>
  </si>
  <si>
    <t xml:space="preserve">Maestro de Primero y Segundo de la ESO </t>
  </si>
  <si>
    <t>Grupo, Nivel, Puntos y Grado</t>
  </si>
  <si>
    <t>Meses trabajados en el curso</t>
  </si>
  <si>
    <t>Rendimiento Bruto de los meses trabajados en el curso</t>
  </si>
  <si>
    <t>Años de Servicio a efectos de trienios</t>
  </si>
  <si>
    <t>Años de Servicio a efectos de sexenios</t>
  </si>
  <si>
    <t>Jornada Completa</t>
  </si>
  <si>
    <t>Jornada Parcial</t>
  </si>
  <si>
    <t>Horas lectivas de la jornada parcial</t>
  </si>
  <si>
    <t>Días trabajados en el mes</t>
  </si>
  <si>
    <t>Todos los meses deben computarse como 30 días</t>
  </si>
  <si>
    <t>IMPORTE Nómina</t>
  </si>
  <si>
    <t>Retención IRPF</t>
  </si>
  <si>
    <t>La jornada Completa en Infantil, Primaria y Centros Educación Especial es de 25 horas, en el resto es de 18 horas</t>
  </si>
  <si>
    <t>Nómina 2020 (Mensual y por Días. Jornada Completa y Parcial)</t>
  </si>
  <si>
    <t>Importes provisionales hasta la publicación del Gobierno de Canarias</t>
  </si>
  <si>
    <t xml:space="preserve">Coordinador/a Formación en Centros de Trabajo </t>
  </si>
  <si>
    <t xml:space="preserve">Importes oficiales. Resolución Función Pública 10 mar 20 (BOC 20 mar) </t>
  </si>
  <si>
    <t>JORNADA COMPLETA</t>
  </si>
  <si>
    <t>DÍAS TRABAJADOS</t>
  </si>
  <si>
    <t>JORNADA PARCIAL</t>
  </si>
  <si>
    <t>Introducir nº horas Jor. parcial</t>
  </si>
  <si>
    <t>Elegir / Introducir la opción que corresponda</t>
  </si>
  <si>
    <t>Introducir nº de días</t>
  </si>
  <si>
    <t>MES COMPLETO</t>
  </si>
  <si>
    <t>Jornada</t>
  </si>
  <si>
    <t xml:space="preserve">Destino en Isla </t>
  </si>
  <si>
    <t>Nómina</t>
  </si>
  <si>
    <t>Capitalina</t>
  </si>
  <si>
    <t>Sí</t>
  </si>
  <si>
    <t>No</t>
  </si>
  <si>
    <t>Mes</t>
  </si>
  <si>
    <t>por Días</t>
  </si>
  <si>
    <t>No Capitalina</t>
  </si>
  <si>
    <t>Agosto (Interino)</t>
  </si>
  <si>
    <t>Devengo</t>
  </si>
  <si>
    <t>Destino en Isla</t>
  </si>
  <si>
    <t xml:space="preserve">Introducir el número de años de servicio </t>
  </si>
  <si>
    <r>
      <t xml:space="preserve">Elaborado por </t>
    </r>
    <r>
      <rPr>
        <b/>
        <sz val="14"/>
        <color theme="1"/>
        <rFont val="Calibri"/>
        <family val="2"/>
        <scheme val="minor"/>
      </rPr>
      <t>DOCENTES DE CANARIAS-INSUCAN (DCI)</t>
    </r>
  </si>
  <si>
    <t>Periodo de la nómina</t>
  </si>
  <si>
    <t>Descuentos trabajador</t>
  </si>
  <si>
    <t>Complemento Especial Responsabilidad:</t>
  </si>
  <si>
    <t>Otros complementos: Jefe departamento, Encargado comedor, Maestros en Residencia, otros</t>
  </si>
  <si>
    <t>Otros complementos: Tutoría, AICLE/PILE, Coordinación</t>
  </si>
  <si>
    <t>Otros complementos: AICLE/PILE, Coordinación</t>
  </si>
  <si>
    <t>Otras retribuciones (introducirla)</t>
  </si>
  <si>
    <t>Cargo directivo</t>
  </si>
  <si>
    <t>Seleccionar el cargo</t>
  </si>
  <si>
    <t>Seleccionar el tipo de jornada</t>
  </si>
  <si>
    <t>Seleccionar el mes de la paga extra</t>
  </si>
  <si>
    <t>Seleccionar la situación laboral</t>
  </si>
  <si>
    <t>Seleccionar el cuerpo</t>
  </si>
  <si>
    <t>Seleccionar destino para cálculo de la Residencia</t>
  </si>
  <si>
    <t>Seleccionar tipo retribución: Por mes o por días.</t>
  </si>
  <si>
    <t>Impartición docencia en lengua extranjera. Maestros de Inglés sin B2, ni C1, ni C2</t>
  </si>
  <si>
    <t>Impartición docencia en lengua extranjera. Profesorado con B2</t>
  </si>
  <si>
    <t>Impartición docencia en lengua extranjera. Profesorado con C1 o C2</t>
  </si>
  <si>
    <t>Coordinación impartición docencia en lengua extranjera. Nivel B2</t>
  </si>
  <si>
    <t>Coordinación impartición docencia en lengua extranjera. Nivel C1 o C2</t>
  </si>
  <si>
    <t>Seleccionar lo que corresponda</t>
  </si>
  <si>
    <t>RETRIBUCIONES 2021</t>
  </si>
  <si>
    <t>597-Maestros (1º y 2º ESO)</t>
  </si>
  <si>
    <t>Tiempo de servicio</t>
  </si>
  <si>
    <t>Importe Bruto total perdido</t>
  </si>
  <si>
    <t>Año</t>
  </si>
  <si>
    <t>2008 mes</t>
  </si>
  <si>
    <t>2018 mes</t>
  </si>
  <si>
    <t>Importe anual</t>
  </si>
  <si>
    <t>Importe bruto perdido desde implantación</t>
  </si>
  <si>
    <t>Importe neto perdido desde implantación</t>
  </si>
  <si>
    <t>Nómina 2021.</t>
  </si>
  <si>
    <t>Versión 27/08/2021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</si>
</sst>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6" formatCode="#,##0\ &quot;€&quot;;[Red]\-#,##0\ &quot;€&quot;"/>
    <numFmt numFmtId="8" formatCode="#,##0.00\ &quot;€&quot;;[Red]\-#,##0.00\ &quot;€&quot;"/>
    <numFmt numFmtId="164" formatCode="#,##0.00\ &quot;€&quot;"/>
    <numFmt numFmtId="165" formatCode="#,##0.0"/>
    <numFmt numFmtId="166" formatCode="#,##0.000"/>
    <numFmt numFmtId="167" formatCode="0.0"/>
    <numFmt numFmtId="168" formatCode="#,##0.00_ ;[Red]\-#,##0.00\ "/>
    <numFmt numFmtId="169" formatCode="0.0%"/>
  </numFmts>
  <fonts count="37" x14ac:knownFonts="1">
    <font>
      <sz val="11"/>
      <color theme="1"/>
      <name val="Calibri"/>
      <family val="2"/>
      <scheme val="minor"/>
    </font>
    <font>
      <sz val="10"/>
      <name val="Verdana"/>
      <family val="2"/>
    </font>
    <font>
      <b/>
      <sz val="10"/>
      <name val="Verdana"/>
      <family val="2"/>
    </font>
    <font>
      <b/>
      <sz val="10"/>
      <color indexed="8"/>
      <name val="Verdana"/>
      <family val="2"/>
    </font>
    <font>
      <sz val="9"/>
      <name val="Verdana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b/>
      <sz val="10"/>
      <color theme="1"/>
      <name val="Verdana"/>
      <family val="2"/>
    </font>
    <font>
      <b/>
      <sz val="10"/>
      <color theme="0"/>
      <name val="Verdana"/>
      <family val="2"/>
    </font>
    <font>
      <sz val="11"/>
      <color rgb="FF000000"/>
      <name val="Calibri"/>
      <family val="2"/>
      <scheme val="minor"/>
    </font>
    <font>
      <sz val="8"/>
      <color theme="1"/>
      <name val="Calibri"/>
      <family val="2"/>
      <scheme val="minor"/>
    </font>
    <font>
      <sz val="14"/>
      <color theme="1"/>
      <name val="Verdana"/>
      <family val="2"/>
    </font>
    <font>
      <sz val="12"/>
      <color theme="1"/>
      <name val="Calibri"/>
      <family val="2"/>
      <scheme val="minor"/>
    </font>
    <font>
      <b/>
      <sz val="14"/>
      <color theme="1"/>
      <name val="Verdana"/>
      <family val="2"/>
    </font>
    <font>
      <b/>
      <sz val="12"/>
      <color theme="1"/>
      <name val="Verdana"/>
      <family val="2"/>
    </font>
    <font>
      <sz val="10"/>
      <name val="Arial"/>
      <family val="2"/>
    </font>
    <font>
      <b/>
      <sz val="12"/>
      <name val="Arial"/>
      <family val="2"/>
    </font>
    <font>
      <b/>
      <sz val="12"/>
      <color theme="1"/>
      <name val="Arial"/>
      <family val="2"/>
    </font>
    <font>
      <b/>
      <sz val="10"/>
      <name val="Arial"/>
      <family val="2"/>
    </font>
    <font>
      <b/>
      <sz val="10"/>
      <color rgb="FF333333"/>
      <name val="Verdana"/>
      <family val="2"/>
    </font>
    <font>
      <sz val="10"/>
      <color rgb="FF000000"/>
      <name val="Calibri"/>
      <family val="2"/>
    </font>
    <font>
      <b/>
      <sz val="9"/>
      <name val="Verdana"/>
      <family val="2"/>
    </font>
    <font>
      <b/>
      <sz val="9"/>
      <color rgb="FF000000"/>
      <name val="Calibri"/>
      <family val="2"/>
    </font>
    <font>
      <sz val="8"/>
      <name val="Verdana"/>
      <family val="2"/>
    </font>
    <font>
      <b/>
      <sz val="10"/>
      <color rgb="FF000000"/>
      <name val="Calibri"/>
      <family val="2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8"/>
      <color theme="1"/>
      <name val="Verdana"/>
      <family val="2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sz val="14"/>
      <name val="Arial"/>
      <family val="2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</fonts>
  <fills count="4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CCE9AD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DDD9C3"/>
        <bgColor indexed="64"/>
      </patternFill>
    </fill>
    <fill>
      <patternFill patternType="solid">
        <fgColor rgb="FFC5D9F1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rgb="FFF2DDDC"/>
        <bgColor indexed="64"/>
      </patternFill>
    </fill>
    <fill>
      <patternFill patternType="solid">
        <fgColor rgb="FFEAF1DD"/>
        <bgColor indexed="64"/>
      </patternFill>
    </fill>
    <fill>
      <patternFill patternType="solid">
        <fgColor rgb="FFE5E0EC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rgb="FFD0CECE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EADCF4"/>
        <bgColor indexed="64"/>
      </patternFill>
    </fill>
    <fill>
      <patternFill patternType="solid">
        <fgColor rgb="FFF5822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9B277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B7"/>
        <bgColor indexed="64"/>
      </patternFill>
    </fill>
    <fill>
      <patternFill patternType="solid">
        <fgColor rgb="FFFEECDE"/>
        <bgColor indexed="64"/>
      </patternFill>
    </fill>
    <fill>
      <patternFill patternType="solid">
        <fgColor rgb="FF4BD0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360">
    <xf numFmtId="0" fontId="0" fillId="0" borderId="0" xfId="0"/>
    <xf numFmtId="0" fontId="7" fillId="2" borderId="0" xfId="0" applyFont="1" applyFill="1" applyProtection="1">
      <protection hidden="1"/>
    </xf>
    <xf numFmtId="0" fontId="7" fillId="2" borderId="0" xfId="0" applyFont="1" applyFill="1" applyBorder="1" applyProtection="1">
      <protection hidden="1"/>
    </xf>
    <xf numFmtId="0" fontId="1" fillId="3" borderId="0" xfId="0" applyFont="1" applyFill="1" applyBorder="1" applyAlignment="1" applyProtection="1">
      <protection hidden="1"/>
    </xf>
    <xf numFmtId="0" fontId="1" fillId="4" borderId="1" xfId="0" applyFont="1" applyFill="1" applyBorder="1" applyAlignment="1" applyProtection="1">
      <alignment horizontal="center" wrapText="1"/>
      <protection hidden="1"/>
    </xf>
    <xf numFmtId="0" fontId="7" fillId="4" borderId="2" xfId="0" applyFont="1" applyFill="1" applyBorder="1" applyProtection="1">
      <protection hidden="1"/>
    </xf>
    <xf numFmtId="164" fontId="8" fillId="4" borderId="3" xfId="0" applyNumberFormat="1" applyFont="1" applyFill="1" applyBorder="1" applyAlignment="1" applyProtection="1">
      <alignment horizontal="center"/>
      <protection hidden="1"/>
    </xf>
    <xf numFmtId="0" fontId="9" fillId="5" borderId="14" xfId="0" applyFont="1" applyFill="1" applyBorder="1" applyAlignment="1" applyProtection="1">
      <alignment horizontal="left" wrapText="1"/>
      <protection hidden="1"/>
    </xf>
    <xf numFmtId="0" fontId="8" fillId="6" borderId="1" xfId="0" applyFont="1" applyFill="1" applyBorder="1" applyAlignment="1" applyProtection="1">
      <alignment horizontal="center"/>
      <protection hidden="1"/>
    </xf>
    <xf numFmtId="4" fontId="2" fillId="6" borderId="2" xfId="0" applyNumberFormat="1" applyFont="1" applyFill="1" applyBorder="1" applyAlignment="1" applyProtection="1">
      <alignment horizontal="right" wrapText="1" indent="1"/>
      <protection hidden="1"/>
    </xf>
    <xf numFmtId="164" fontId="8" fillId="6" borderId="3" xfId="0" applyNumberFormat="1" applyFont="1" applyFill="1" applyBorder="1" applyAlignment="1" applyProtection="1">
      <alignment horizontal="center"/>
      <protection hidden="1"/>
    </xf>
    <xf numFmtId="9" fontId="7" fillId="2" borderId="0" xfId="1" applyFont="1" applyFill="1" applyBorder="1" applyProtection="1">
      <protection hidden="1"/>
    </xf>
    <xf numFmtId="164" fontId="1" fillId="8" borderId="3" xfId="0" applyNumberFormat="1" applyFont="1" applyFill="1" applyBorder="1" applyAlignment="1" applyProtection="1">
      <alignment horizontal="right" vertical="center" wrapText="1"/>
      <protection hidden="1"/>
    </xf>
    <xf numFmtId="0" fontId="10" fillId="8" borderId="1" xfId="0" applyFont="1" applyFill="1" applyBorder="1" applyAlignment="1" applyProtection="1">
      <protection hidden="1"/>
    </xf>
    <xf numFmtId="0" fontId="10" fillId="8" borderId="1" xfId="0" applyFont="1" applyFill="1" applyBorder="1" applyAlignment="1" applyProtection="1">
      <alignment horizontal="left"/>
      <protection hidden="1"/>
    </xf>
    <xf numFmtId="0" fontId="1" fillId="8" borderId="6" xfId="0" applyFont="1" applyFill="1" applyBorder="1" applyAlignment="1" applyProtection="1">
      <alignment horizontal="center" vertical="center" wrapText="1"/>
      <protection hidden="1"/>
    </xf>
    <xf numFmtId="0" fontId="9" fillId="5" borderId="15" xfId="0" applyFont="1" applyFill="1" applyBorder="1" applyAlignment="1" applyProtection="1">
      <alignment horizontal="left" wrapText="1"/>
      <protection hidden="1"/>
    </xf>
    <xf numFmtId="164" fontId="1" fillId="8" borderId="4" xfId="0" applyNumberFormat="1" applyFont="1" applyFill="1" applyBorder="1" applyAlignment="1" applyProtection="1">
      <alignment horizontal="right" vertical="center" wrapText="1" indent="1"/>
      <protection hidden="1"/>
    </xf>
    <xf numFmtId="164" fontId="1" fillId="8" borderId="3" xfId="0" applyNumberFormat="1" applyFont="1" applyFill="1" applyBorder="1" applyAlignment="1" applyProtection="1">
      <alignment horizontal="right" vertical="center" wrapText="1" indent="1"/>
      <protection hidden="1"/>
    </xf>
    <xf numFmtId="164" fontId="1" fillId="8" borderId="4" xfId="0" applyNumberFormat="1" applyFont="1" applyFill="1" applyBorder="1" applyAlignment="1" applyProtection="1">
      <alignment horizontal="right" vertical="center" wrapText="1"/>
      <protection hidden="1"/>
    </xf>
    <xf numFmtId="164" fontId="8" fillId="4" borderId="3" xfId="0" applyNumberFormat="1" applyFont="1" applyFill="1" applyBorder="1" applyAlignment="1" applyProtection="1">
      <alignment horizontal="center" vertical="center"/>
      <protection hidden="1"/>
    </xf>
    <xf numFmtId="4" fontId="1" fillId="7" borderId="5" xfId="0" applyNumberFormat="1" applyFont="1" applyFill="1" applyBorder="1" applyAlignment="1" applyProtection="1">
      <alignment horizontal="center" vertical="center" wrapText="1"/>
      <protection hidden="1"/>
    </xf>
    <xf numFmtId="3" fontId="1" fillId="7" borderId="5" xfId="0" applyNumberFormat="1" applyFont="1" applyFill="1" applyBorder="1" applyAlignment="1" applyProtection="1">
      <alignment horizontal="center" vertical="center" wrapText="1"/>
      <protection hidden="1"/>
    </xf>
    <xf numFmtId="0" fontId="1" fillId="13" borderId="3" xfId="0" applyFont="1" applyFill="1" applyBorder="1" applyAlignment="1" applyProtection="1">
      <alignment horizontal="left" wrapText="1"/>
      <protection hidden="1"/>
    </xf>
    <xf numFmtId="4" fontId="1" fillId="2" borderId="3" xfId="0" applyNumberFormat="1" applyFont="1" applyFill="1" applyBorder="1" applyAlignment="1" applyProtection="1">
      <alignment horizontal="right" wrapText="1" indent="1"/>
      <protection hidden="1"/>
    </xf>
    <xf numFmtId="164" fontId="7" fillId="2" borderId="0" xfId="1" applyNumberFormat="1" applyFont="1" applyFill="1" applyBorder="1" applyProtection="1">
      <protection hidden="1"/>
    </xf>
    <xf numFmtId="4" fontId="8" fillId="6" borderId="3" xfId="0" applyNumberFormat="1" applyFont="1" applyFill="1" applyBorder="1" applyAlignment="1" applyProtection="1">
      <alignment horizontal="center"/>
      <protection hidden="1"/>
    </xf>
    <xf numFmtId="0" fontId="1" fillId="4" borderId="2" xfId="0" applyFont="1" applyFill="1" applyBorder="1" applyAlignment="1" applyProtection="1">
      <alignment horizontal="center" wrapText="1"/>
      <protection hidden="1"/>
    </xf>
    <xf numFmtId="0" fontId="1" fillId="13" borderId="1" xfId="0" applyFont="1" applyFill="1" applyBorder="1" applyAlignment="1" applyProtection="1">
      <alignment horizontal="left" wrapText="1"/>
      <protection hidden="1"/>
    </xf>
    <xf numFmtId="8" fontId="7" fillId="2" borderId="0" xfId="0" applyNumberFormat="1" applyFont="1" applyFill="1" applyProtection="1">
      <protection hidden="1"/>
    </xf>
    <xf numFmtId="4" fontId="1" fillId="2" borderId="3" xfId="0" applyNumberFormat="1" applyFont="1" applyFill="1" applyBorder="1" applyAlignment="1" applyProtection="1">
      <alignment horizontal="center" wrapText="1"/>
      <protection hidden="1"/>
    </xf>
    <xf numFmtId="0" fontId="7" fillId="2" borderId="0" xfId="0" applyFont="1" applyFill="1" applyAlignment="1" applyProtection="1">
      <alignment vertical="center"/>
      <protection hidden="1"/>
    </xf>
    <xf numFmtId="165" fontId="1" fillId="7" borderId="3" xfId="0" applyNumberFormat="1" applyFont="1" applyFill="1" applyBorder="1" applyAlignment="1" applyProtection="1">
      <alignment horizontal="center" vertical="center" wrapText="1"/>
      <protection hidden="1"/>
    </xf>
    <xf numFmtId="4" fontId="1" fillId="7" borderId="3" xfId="0" applyNumberFormat="1" applyFont="1" applyFill="1" applyBorder="1" applyAlignment="1" applyProtection="1">
      <alignment horizontal="center" vertical="center" wrapText="1"/>
      <protection hidden="1"/>
    </xf>
    <xf numFmtId="0" fontId="11" fillId="2" borderId="3" xfId="0" applyFont="1" applyFill="1" applyBorder="1" applyAlignment="1" applyProtection="1">
      <alignment horizontal="center" vertical="center" wrapText="1"/>
      <protection hidden="1"/>
    </xf>
    <xf numFmtId="0" fontId="1" fillId="15" borderId="1" xfId="0" applyFont="1" applyFill="1" applyBorder="1" applyAlignment="1" applyProtection="1">
      <alignment horizontal="left" vertical="center"/>
      <protection hidden="1"/>
    </xf>
    <xf numFmtId="0" fontId="12" fillId="2" borderId="0" xfId="0" applyFont="1" applyFill="1" applyProtection="1">
      <protection hidden="1"/>
    </xf>
    <xf numFmtId="0" fontId="13" fillId="2" borderId="0" xfId="0" applyFont="1" applyFill="1" applyProtection="1">
      <protection hidden="1"/>
    </xf>
    <xf numFmtId="0" fontId="13" fillId="0" borderId="0" xfId="0" applyFont="1" applyProtection="1">
      <protection hidden="1"/>
    </xf>
    <xf numFmtId="0" fontId="0" fillId="0" borderId="0" xfId="0" applyProtection="1">
      <protection hidden="1"/>
    </xf>
    <xf numFmtId="4" fontId="0" fillId="0" borderId="0" xfId="0" applyNumberFormat="1" applyProtection="1">
      <protection hidden="1"/>
    </xf>
    <xf numFmtId="0" fontId="0" fillId="2" borderId="0" xfId="0" applyFill="1" applyProtection="1">
      <protection hidden="1"/>
    </xf>
    <xf numFmtId="0" fontId="16" fillId="17" borderId="3" xfId="0" applyFont="1" applyFill="1" applyBorder="1" applyAlignment="1" applyProtection="1">
      <alignment horizontal="center"/>
      <protection hidden="1"/>
    </xf>
    <xf numFmtId="0" fontId="16" fillId="0" borderId="1" xfId="0" applyFont="1" applyFill="1" applyBorder="1" applyAlignment="1" applyProtection="1">
      <alignment vertical="center" wrapText="1"/>
      <protection hidden="1"/>
    </xf>
    <xf numFmtId="0" fontId="0" fillId="0" borderId="2" xfId="0" applyBorder="1" applyProtection="1">
      <protection hidden="1"/>
    </xf>
    <xf numFmtId="4" fontId="0" fillId="18" borderId="3" xfId="0" applyNumberFormat="1" applyFill="1" applyBorder="1" applyProtection="1">
      <protection hidden="1"/>
    </xf>
    <xf numFmtId="0" fontId="16" fillId="0" borderId="3" xfId="0" applyFont="1" applyBorder="1" applyProtection="1">
      <protection hidden="1"/>
    </xf>
    <xf numFmtId="3" fontId="16" fillId="9" borderId="3" xfId="0" applyNumberFormat="1" applyFont="1" applyFill="1" applyBorder="1" applyAlignment="1" applyProtection="1">
      <alignment horizontal="center"/>
      <protection locked="0"/>
    </xf>
    <xf numFmtId="3" fontId="0" fillId="9" borderId="3" xfId="0" applyNumberFormat="1" applyFill="1" applyBorder="1" applyAlignment="1" applyProtection="1">
      <alignment horizontal="center"/>
      <protection locked="0"/>
    </xf>
    <xf numFmtId="0" fontId="16" fillId="0" borderId="3" xfId="0" applyFont="1" applyBorder="1" applyAlignment="1" applyProtection="1">
      <alignment vertical="center" wrapText="1"/>
      <protection hidden="1"/>
    </xf>
    <xf numFmtId="4" fontId="0" fillId="2" borderId="0" xfId="0" applyNumberFormat="1" applyFill="1" applyProtection="1">
      <protection hidden="1"/>
    </xf>
    <xf numFmtId="0" fontId="0" fillId="0" borderId="3" xfId="0" applyBorder="1" applyProtection="1">
      <protection hidden="1"/>
    </xf>
    <xf numFmtId="0" fontId="16" fillId="0" borderId="1" xfId="0" applyFont="1" applyBorder="1" applyProtection="1">
      <protection hidden="1"/>
    </xf>
    <xf numFmtId="4" fontId="0" fillId="0" borderId="3" xfId="0" applyNumberFormat="1" applyBorder="1" applyProtection="1">
      <protection hidden="1"/>
    </xf>
    <xf numFmtId="4" fontId="0" fillId="2" borderId="3" xfId="0" applyNumberFormat="1" applyFill="1" applyBorder="1" applyProtection="1">
      <protection hidden="1"/>
    </xf>
    <xf numFmtId="0" fontId="20" fillId="0" borderId="1" xfId="0" applyFont="1" applyBorder="1" applyAlignment="1" applyProtection="1">
      <alignment horizontal="center" wrapText="1"/>
      <protection hidden="1"/>
    </xf>
    <xf numFmtId="10" fontId="19" fillId="2" borderId="3" xfId="1" applyNumberFormat="1" applyFont="1" applyFill="1" applyBorder="1" applyAlignment="1" applyProtection="1">
      <alignment horizontal="center"/>
      <protection hidden="1"/>
    </xf>
    <xf numFmtId="0" fontId="7" fillId="2" borderId="3" xfId="0" applyFont="1" applyFill="1" applyBorder="1" applyProtection="1">
      <protection hidden="1"/>
    </xf>
    <xf numFmtId="0" fontId="9" fillId="5" borderId="15" xfId="0" applyFont="1" applyFill="1" applyBorder="1" applyAlignment="1" applyProtection="1">
      <alignment horizontal="left" vertical="center" wrapText="1"/>
      <protection hidden="1"/>
    </xf>
    <xf numFmtId="0" fontId="2" fillId="15" borderId="1" xfId="0" applyFont="1" applyFill="1" applyBorder="1" applyAlignment="1" applyProtection="1">
      <alignment horizontal="left" vertical="center"/>
      <protection hidden="1"/>
    </xf>
    <xf numFmtId="9" fontId="8" fillId="12" borderId="3" xfId="1" applyFont="1" applyFill="1" applyBorder="1" applyAlignment="1" applyProtection="1">
      <alignment horizontal="center"/>
      <protection hidden="1"/>
    </xf>
    <xf numFmtId="0" fontId="7" fillId="13" borderId="3" xfId="0" applyFont="1" applyFill="1" applyBorder="1" applyProtection="1">
      <protection hidden="1"/>
    </xf>
    <xf numFmtId="166" fontId="1" fillId="2" borderId="3" xfId="0" applyNumberFormat="1" applyFont="1" applyFill="1" applyBorder="1" applyAlignment="1" applyProtection="1">
      <alignment horizontal="center" wrapText="1"/>
      <protection hidden="1"/>
    </xf>
    <xf numFmtId="164" fontId="7" fillId="2" borderId="3" xfId="0" applyNumberFormat="1" applyFont="1" applyFill="1" applyBorder="1" applyProtection="1">
      <protection hidden="1"/>
    </xf>
    <xf numFmtId="4" fontId="0" fillId="18" borderId="4" xfId="0" applyNumberFormat="1" applyFill="1" applyBorder="1" applyAlignment="1" applyProtection="1">
      <alignment vertical="center"/>
      <protection hidden="1"/>
    </xf>
    <xf numFmtId="0" fontId="5" fillId="22" borderId="0" xfId="0" applyFont="1" applyFill="1" applyBorder="1" applyProtection="1">
      <protection hidden="1"/>
    </xf>
    <xf numFmtId="0" fontId="0" fillId="0" borderId="0" xfId="0" applyAlignment="1" applyProtection="1">
      <alignment horizontal="center"/>
      <protection hidden="1"/>
    </xf>
    <xf numFmtId="0" fontId="23" fillId="23" borderId="3" xfId="0" applyFont="1" applyFill="1" applyBorder="1" applyAlignment="1" applyProtection="1">
      <alignment horizontal="center" vertical="center" wrapText="1"/>
      <protection hidden="1"/>
    </xf>
    <xf numFmtId="0" fontId="23" fillId="24" borderId="3" xfId="0" applyFont="1" applyFill="1" applyBorder="1" applyAlignment="1" applyProtection="1">
      <alignment horizontal="center" vertical="center" wrapText="1"/>
      <protection hidden="1"/>
    </xf>
    <xf numFmtId="0" fontId="23" fillId="25" borderId="3" xfId="0" applyFont="1" applyFill="1" applyBorder="1" applyAlignment="1" applyProtection="1">
      <alignment horizontal="center" vertical="center" wrapText="1"/>
      <protection hidden="1"/>
    </xf>
    <xf numFmtId="0" fontId="23" fillId="26" borderId="3" xfId="0" applyFont="1" applyFill="1" applyBorder="1" applyAlignment="1" applyProtection="1">
      <alignment horizontal="center" vertical="center" wrapText="1"/>
      <protection hidden="1"/>
    </xf>
    <xf numFmtId="0" fontId="23" fillId="11" borderId="3" xfId="0" applyFont="1" applyFill="1" applyBorder="1" applyAlignment="1" applyProtection="1">
      <alignment horizontal="center" vertical="center" wrapText="1"/>
      <protection hidden="1"/>
    </xf>
    <xf numFmtId="0" fontId="24" fillId="10" borderId="3" xfId="0" applyFont="1" applyFill="1" applyBorder="1" applyAlignment="1" applyProtection="1">
      <alignment horizontal="center" vertical="center" wrapText="1"/>
      <protection hidden="1"/>
    </xf>
    <xf numFmtId="0" fontId="23" fillId="27" borderId="2" xfId="0" applyFont="1" applyFill="1" applyBorder="1" applyAlignment="1" applyProtection="1">
      <alignment horizontal="center" vertical="center" wrapText="1"/>
      <protection hidden="1"/>
    </xf>
    <xf numFmtId="0" fontId="23" fillId="28" borderId="3" xfId="0" applyFont="1" applyFill="1" applyBorder="1" applyAlignment="1" applyProtection="1">
      <alignment horizontal="center" vertical="center" wrapText="1"/>
      <protection hidden="1"/>
    </xf>
    <xf numFmtId="0" fontId="23" fillId="29" borderId="3" xfId="0" applyFont="1" applyFill="1" applyBorder="1" applyAlignment="1" applyProtection="1">
      <alignment horizontal="center" vertical="center" wrapText="1"/>
      <protection hidden="1"/>
    </xf>
    <xf numFmtId="0" fontId="25" fillId="30" borderId="3" xfId="0" applyFont="1" applyFill="1" applyBorder="1" applyAlignment="1" applyProtection="1">
      <alignment horizontal="center" vertical="center"/>
      <protection hidden="1"/>
    </xf>
    <xf numFmtId="0" fontId="25" fillId="30" borderId="3" xfId="0" applyFont="1" applyFill="1" applyBorder="1" applyAlignment="1" applyProtection="1">
      <alignment horizontal="center" vertical="center" wrapText="1"/>
      <protection hidden="1"/>
    </xf>
    <xf numFmtId="0" fontId="16" fillId="0" borderId="0" xfId="0" applyFont="1" applyAlignment="1" applyProtection="1">
      <alignment horizontal="center" vertical="center"/>
      <protection hidden="1"/>
    </xf>
    <xf numFmtId="0" fontId="24" fillId="0" borderId="3" xfId="0" applyFont="1" applyBorder="1" applyAlignment="1" applyProtection="1">
      <alignment horizontal="center" vertical="center" wrapText="1"/>
      <protection hidden="1"/>
    </xf>
    <xf numFmtId="0" fontId="5" fillId="22" borderId="3" xfId="0" applyFont="1" applyFill="1" applyBorder="1" applyAlignment="1" applyProtection="1">
      <alignment horizontal="center" vertical="center"/>
      <protection hidden="1"/>
    </xf>
    <xf numFmtId="0" fontId="5" fillId="9" borderId="3" xfId="0" applyFont="1" applyFill="1" applyBorder="1" applyAlignment="1" applyProtection="1">
      <alignment horizontal="center" vertical="center" wrapText="1"/>
      <protection hidden="1"/>
    </xf>
    <xf numFmtId="0" fontId="21" fillId="31" borderId="3" xfId="0" applyFont="1" applyFill="1" applyBorder="1" applyAlignment="1" applyProtection="1">
      <alignment horizontal="center" vertical="top" wrapText="1"/>
      <protection hidden="1"/>
    </xf>
    <xf numFmtId="0" fontId="21" fillId="31" borderId="3" xfId="0" applyFont="1" applyFill="1" applyBorder="1" applyProtection="1">
      <protection hidden="1"/>
    </xf>
    <xf numFmtId="4" fontId="21" fillId="2" borderId="3" xfId="0" applyNumberFormat="1" applyFont="1" applyFill="1" applyBorder="1" applyAlignment="1" applyProtection="1">
      <alignment horizontal="center" vertical="top"/>
      <protection hidden="1"/>
    </xf>
    <xf numFmtId="4" fontId="21" fillId="2" borderId="3" xfId="0" applyNumberFormat="1" applyFont="1" applyFill="1" applyBorder="1" applyAlignment="1" applyProtection="1">
      <alignment horizontal="center" vertical="top" wrapText="1"/>
      <protection hidden="1"/>
    </xf>
    <xf numFmtId="0" fontId="0" fillId="2" borderId="3" xfId="0" applyFill="1" applyBorder="1" applyAlignment="1" applyProtection="1">
      <alignment horizontal="center"/>
      <protection hidden="1"/>
    </xf>
    <xf numFmtId="0" fontId="0" fillId="2" borderId="1" xfId="0" applyFill="1" applyBorder="1" applyAlignment="1" applyProtection="1">
      <alignment horizontal="center"/>
      <protection hidden="1"/>
    </xf>
    <xf numFmtId="0" fontId="5" fillId="22" borderId="3" xfId="0" applyFont="1" applyFill="1" applyBorder="1" applyProtection="1">
      <protection hidden="1"/>
    </xf>
    <xf numFmtId="4" fontId="5" fillId="22" borderId="3" xfId="0" applyNumberFormat="1" applyFont="1" applyFill="1" applyBorder="1" applyAlignment="1" applyProtection="1">
      <alignment horizontal="center"/>
      <protection hidden="1"/>
    </xf>
    <xf numFmtId="4" fontId="5" fillId="22" borderId="2" xfId="0" applyNumberFormat="1" applyFont="1" applyFill="1" applyBorder="1" applyAlignment="1" applyProtection="1">
      <alignment horizontal="center"/>
      <protection hidden="1"/>
    </xf>
    <xf numFmtId="10" fontId="5" fillId="0" borderId="3" xfId="0" applyNumberFormat="1" applyFont="1" applyBorder="1" applyProtection="1">
      <protection hidden="1"/>
    </xf>
    <xf numFmtId="4" fontId="5" fillId="0" borderId="3" xfId="0" applyNumberFormat="1" applyFont="1" applyBorder="1" applyProtection="1">
      <protection hidden="1"/>
    </xf>
    <xf numFmtId="4" fontId="24" fillId="2" borderId="3" xfId="0" applyNumberFormat="1" applyFont="1" applyFill="1" applyBorder="1" applyAlignment="1" applyProtection="1">
      <alignment horizontal="center" vertical="top" wrapText="1"/>
      <protection hidden="1"/>
    </xf>
    <xf numFmtId="0" fontId="0" fillId="2" borderId="0" xfId="0" applyFill="1" applyAlignment="1" applyProtection="1">
      <alignment horizontal="center"/>
      <protection hidden="1"/>
    </xf>
    <xf numFmtId="4" fontId="5" fillId="22" borderId="0" xfId="0" applyNumberFormat="1" applyFont="1" applyFill="1" applyBorder="1" applyProtection="1">
      <protection hidden="1"/>
    </xf>
    <xf numFmtId="0" fontId="0" fillId="0" borderId="3" xfId="0" applyBorder="1" applyAlignment="1" applyProtection="1">
      <alignment horizontal="center"/>
      <protection hidden="1"/>
    </xf>
    <xf numFmtId="0" fontId="5" fillId="22" borderId="0" xfId="0" applyNumberFormat="1" applyFont="1" applyFill="1" applyBorder="1" applyProtection="1">
      <protection hidden="1"/>
    </xf>
    <xf numFmtId="8" fontId="0" fillId="6" borderId="4" xfId="0" applyNumberFormat="1" applyFill="1" applyBorder="1" applyAlignment="1" applyProtection="1">
      <alignment horizontal="right"/>
      <protection hidden="1"/>
    </xf>
    <xf numFmtId="4" fontId="21" fillId="9" borderId="3" xfId="0" applyNumberFormat="1" applyFont="1" applyFill="1" applyBorder="1" applyAlignment="1" applyProtection="1">
      <alignment horizontal="center" vertical="top"/>
      <protection hidden="1"/>
    </xf>
    <xf numFmtId="4" fontId="24" fillId="9" borderId="3" xfId="0" applyNumberFormat="1" applyFont="1" applyFill="1" applyBorder="1" applyAlignment="1" applyProtection="1">
      <alignment horizontal="center" vertical="top" wrapText="1"/>
      <protection hidden="1"/>
    </xf>
    <xf numFmtId="2" fontId="21" fillId="9" borderId="3" xfId="0" applyNumberFormat="1" applyFont="1" applyFill="1" applyBorder="1" applyAlignment="1" applyProtection="1">
      <alignment horizontal="center" vertical="top"/>
      <protection hidden="1"/>
    </xf>
    <xf numFmtId="8" fontId="0" fillId="9" borderId="4" xfId="0" applyNumberFormat="1" applyFill="1" applyBorder="1" applyAlignment="1" applyProtection="1">
      <alignment horizontal="right"/>
      <protection hidden="1"/>
    </xf>
    <xf numFmtId="8" fontId="16" fillId="9" borderId="4" xfId="0" applyNumberFormat="1" applyFont="1" applyFill="1" applyBorder="1" applyAlignment="1" applyProtection="1">
      <alignment horizontal="right"/>
      <protection hidden="1"/>
    </xf>
    <xf numFmtId="4" fontId="1" fillId="2" borderId="2" xfId="0" applyNumberFormat="1" applyFont="1" applyFill="1" applyBorder="1" applyAlignment="1" applyProtection="1">
      <alignment horizontal="right" wrapText="1" indent="1"/>
      <protection hidden="1"/>
    </xf>
    <xf numFmtId="8" fontId="0" fillId="14" borderId="4" xfId="0" applyNumberFormat="1" applyFill="1" applyBorder="1" applyAlignment="1" applyProtection="1">
      <alignment horizontal="right"/>
      <protection hidden="1"/>
    </xf>
    <xf numFmtId="4" fontId="21" fillId="32" borderId="3" xfId="0" applyNumberFormat="1" applyFont="1" applyFill="1" applyBorder="1" applyAlignment="1" applyProtection="1">
      <alignment horizontal="center" vertical="top"/>
      <protection hidden="1"/>
    </xf>
    <xf numFmtId="4" fontId="24" fillId="32" borderId="3" xfId="0" applyNumberFormat="1" applyFont="1" applyFill="1" applyBorder="1" applyAlignment="1" applyProtection="1">
      <alignment horizontal="center" vertical="top" wrapText="1"/>
      <protection hidden="1"/>
    </xf>
    <xf numFmtId="4" fontId="21" fillId="9" borderId="3" xfId="0" applyNumberFormat="1" applyFont="1" applyFill="1" applyBorder="1" applyAlignment="1" applyProtection="1">
      <alignment horizontal="center"/>
      <protection hidden="1"/>
    </xf>
    <xf numFmtId="4" fontId="21" fillId="9" borderId="1" xfId="0" applyNumberFormat="1" applyFont="1" applyFill="1" applyBorder="1" applyAlignment="1" applyProtection="1">
      <alignment horizontal="center"/>
      <protection hidden="1"/>
    </xf>
    <xf numFmtId="0" fontId="23" fillId="23" borderId="3" xfId="0" applyFont="1" applyFill="1" applyBorder="1" applyAlignment="1" applyProtection="1">
      <alignment horizontal="left" vertical="center" wrapText="1"/>
      <protection hidden="1"/>
    </xf>
    <xf numFmtId="0" fontId="23" fillId="24" borderId="3" xfId="0" applyFont="1" applyFill="1" applyBorder="1" applyAlignment="1" applyProtection="1">
      <alignment horizontal="left" vertical="center" wrapText="1"/>
      <protection hidden="1"/>
    </xf>
    <xf numFmtId="0" fontId="23" fillId="25" borderId="3" xfId="0" applyFont="1" applyFill="1" applyBorder="1" applyAlignment="1" applyProtection="1">
      <alignment horizontal="left" vertical="center" wrapText="1"/>
      <protection hidden="1"/>
    </xf>
    <xf numFmtId="0" fontId="23" fillId="26" borderId="3" xfId="0" applyFont="1" applyFill="1" applyBorder="1" applyAlignment="1" applyProtection="1">
      <alignment horizontal="left" vertical="center" wrapText="1"/>
      <protection hidden="1"/>
    </xf>
    <xf numFmtId="0" fontId="23" fillId="11" borderId="3" xfId="0" applyFont="1" applyFill="1" applyBorder="1" applyAlignment="1" applyProtection="1">
      <alignment horizontal="left" vertical="center" wrapText="1"/>
      <protection hidden="1"/>
    </xf>
    <xf numFmtId="0" fontId="24" fillId="10" borderId="3" xfId="0" applyFont="1" applyFill="1" applyBorder="1" applyAlignment="1" applyProtection="1">
      <alignment horizontal="left" vertical="center" wrapText="1"/>
      <protection hidden="1"/>
    </xf>
    <xf numFmtId="0" fontId="23" fillId="28" borderId="3" xfId="0" applyFont="1" applyFill="1" applyBorder="1" applyAlignment="1" applyProtection="1">
      <alignment horizontal="left" vertical="center" wrapText="1"/>
      <protection hidden="1"/>
    </xf>
    <xf numFmtId="0" fontId="23" fillId="29" borderId="3" xfId="0" applyFont="1" applyFill="1" applyBorder="1" applyAlignment="1" applyProtection="1">
      <alignment horizontal="left" vertical="center" wrapText="1"/>
      <protection hidden="1"/>
    </xf>
    <xf numFmtId="0" fontId="25" fillId="30" borderId="3" xfId="0" applyFont="1" applyFill="1" applyBorder="1" applyAlignment="1" applyProtection="1">
      <alignment horizontal="left" vertical="center"/>
      <protection hidden="1"/>
    </xf>
    <xf numFmtId="0" fontId="25" fillId="30" borderId="3" xfId="0" applyFont="1" applyFill="1" applyBorder="1" applyAlignment="1" applyProtection="1">
      <alignment horizontal="left" vertical="center" wrapText="1"/>
      <protection hidden="1"/>
    </xf>
    <xf numFmtId="0" fontId="5" fillId="22" borderId="3" xfId="0" applyFont="1" applyFill="1" applyBorder="1" applyAlignment="1" applyProtection="1">
      <alignment horizontal="center"/>
      <protection hidden="1"/>
    </xf>
    <xf numFmtId="0" fontId="23" fillId="27" borderId="3" xfId="0" applyFont="1" applyFill="1" applyBorder="1" applyAlignment="1" applyProtection="1">
      <alignment horizontal="left" vertical="center" wrapText="1"/>
      <protection hidden="1"/>
    </xf>
    <xf numFmtId="0" fontId="5" fillId="22" borderId="0" xfId="0" applyFont="1" applyFill="1" applyBorder="1" applyAlignment="1" applyProtection="1">
      <alignment horizontal="center" vertical="center"/>
      <protection hidden="1"/>
    </xf>
    <xf numFmtId="9" fontId="5" fillId="22" borderId="3" xfId="0" applyNumberFormat="1" applyFont="1" applyFill="1" applyBorder="1" applyAlignment="1" applyProtection="1">
      <alignment horizontal="center"/>
      <protection hidden="1"/>
    </xf>
    <xf numFmtId="4" fontId="0" fillId="9" borderId="3" xfId="0" applyNumberFormat="1" applyFill="1" applyBorder="1" applyProtection="1">
      <protection hidden="1"/>
    </xf>
    <xf numFmtId="4" fontId="0" fillId="9" borderId="3" xfId="0" applyNumberFormat="1" applyFill="1" applyBorder="1" applyProtection="1">
      <protection locked="0"/>
    </xf>
    <xf numFmtId="0" fontId="10" fillId="21" borderId="1" xfId="0" applyFont="1" applyFill="1" applyBorder="1" applyAlignment="1" applyProtection="1">
      <protection hidden="1"/>
    </xf>
    <xf numFmtId="0" fontId="10" fillId="21" borderId="1" xfId="0" applyFont="1" applyFill="1" applyBorder="1" applyAlignment="1" applyProtection="1">
      <alignment horizontal="left"/>
      <protection hidden="1"/>
    </xf>
    <xf numFmtId="0" fontId="10" fillId="20" borderId="1" xfId="0" applyFont="1" applyFill="1" applyBorder="1" applyAlignment="1" applyProtection="1">
      <protection hidden="1"/>
    </xf>
    <xf numFmtId="0" fontId="10" fillId="20" borderId="1" xfId="0" applyFont="1" applyFill="1" applyBorder="1" applyAlignment="1" applyProtection="1">
      <alignment horizontal="left"/>
      <protection hidden="1"/>
    </xf>
    <xf numFmtId="0" fontId="26" fillId="0" borderId="0" xfId="0" applyFont="1" applyAlignment="1" applyProtection="1">
      <alignment horizontal="center"/>
      <protection hidden="1"/>
    </xf>
    <xf numFmtId="0" fontId="13" fillId="2" borderId="0" xfId="0" applyFont="1" applyFill="1" applyBorder="1" applyProtection="1">
      <protection hidden="1"/>
    </xf>
    <xf numFmtId="0" fontId="26" fillId="0" borderId="0" xfId="0" applyFont="1" applyProtection="1">
      <protection hidden="1"/>
    </xf>
    <xf numFmtId="0" fontId="28" fillId="33" borderId="0" xfId="0" applyFont="1" applyFill="1" applyAlignment="1" applyProtection="1">
      <alignment horizontal="center"/>
      <protection hidden="1"/>
    </xf>
    <xf numFmtId="3" fontId="16" fillId="9" borderId="3" xfId="0" applyNumberFormat="1" applyFont="1" applyFill="1" applyBorder="1" applyAlignment="1" applyProtection="1">
      <alignment horizontal="center"/>
      <protection hidden="1"/>
    </xf>
    <xf numFmtId="3" fontId="0" fillId="9" borderId="3" xfId="0" applyNumberFormat="1" applyFill="1" applyBorder="1" applyAlignment="1" applyProtection="1">
      <alignment horizontal="center"/>
      <protection hidden="1"/>
    </xf>
    <xf numFmtId="0" fontId="7" fillId="14" borderId="5" xfId="0" applyFont="1" applyFill="1" applyBorder="1" applyProtection="1">
      <protection hidden="1"/>
    </xf>
    <xf numFmtId="0" fontId="7" fillId="14" borderId="2" xfId="0" applyFont="1" applyFill="1" applyBorder="1" applyProtection="1">
      <protection hidden="1"/>
    </xf>
    <xf numFmtId="0" fontId="27" fillId="0" borderId="3" xfId="0" applyFont="1" applyBorder="1" applyAlignment="1" applyProtection="1">
      <alignment horizontal="center"/>
      <protection hidden="1"/>
    </xf>
    <xf numFmtId="0" fontId="8" fillId="14" borderId="5" xfId="0" applyFont="1" applyFill="1" applyBorder="1" applyAlignment="1" applyProtection="1">
      <alignment wrapText="1"/>
      <protection hidden="1"/>
    </xf>
    <xf numFmtId="0" fontId="8" fillId="14" borderId="2" xfId="0" applyFont="1" applyFill="1" applyBorder="1" applyAlignment="1" applyProtection="1">
      <alignment wrapText="1"/>
      <protection hidden="1"/>
    </xf>
    <xf numFmtId="0" fontId="7" fillId="2" borderId="5" xfId="0" applyFont="1" applyFill="1" applyBorder="1" applyAlignment="1" applyProtection="1">
      <alignment vertical="center"/>
      <protection hidden="1"/>
    </xf>
    <xf numFmtId="0" fontId="7" fillId="2" borderId="2" xfId="0" applyFont="1" applyFill="1" applyBorder="1" applyAlignment="1" applyProtection="1">
      <alignment vertical="center"/>
      <protection hidden="1"/>
    </xf>
    <xf numFmtId="0" fontId="7" fillId="34" borderId="1" xfId="0" applyFont="1" applyFill="1" applyBorder="1" applyAlignment="1" applyProtection="1">
      <alignment vertical="center"/>
      <protection hidden="1"/>
    </xf>
    <xf numFmtId="0" fontId="7" fillId="34" borderId="5" xfId="0" applyFont="1" applyFill="1" applyBorder="1" applyAlignment="1" applyProtection="1">
      <alignment vertical="center"/>
      <protection hidden="1"/>
    </xf>
    <xf numFmtId="0" fontId="7" fillId="34" borderId="2" xfId="0" applyFont="1" applyFill="1" applyBorder="1" applyAlignment="1" applyProtection="1">
      <alignment vertical="center"/>
      <protection hidden="1"/>
    </xf>
    <xf numFmtId="0" fontId="7" fillId="18" borderId="2" xfId="0" applyFont="1" applyFill="1" applyBorder="1" applyAlignment="1" applyProtection="1">
      <alignment vertical="center"/>
      <protection hidden="1"/>
    </xf>
    <xf numFmtId="10" fontId="8" fillId="18" borderId="3" xfId="1" applyNumberFormat="1" applyFont="1" applyFill="1" applyBorder="1" applyAlignment="1" applyProtection="1">
      <alignment horizontal="center" vertical="center"/>
      <protection hidden="1"/>
    </xf>
    <xf numFmtId="0" fontId="7" fillId="2" borderId="1" xfId="0" applyFont="1" applyFill="1" applyBorder="1" applyProtection="1">
      <protection hidden="1"/>
    </xf>
    <xf numFmtId="0" fontId="7" fillId="18" borderId="1" xfId="0" applyFont="1" applyFill="1" applyBorder="1" applyAlignment="1" applyProtection="1">
      <alignment vertical="center"/>
      <protection hidden="1"/>
    </xf>
    <xf numFmtId="0" fontId="7" fillId="18" borderId="2" xfId="0" applyFont="1" applyFill="1" applyBorder="1" applyProtection="1">
      <protection hidden="1"/>
    </xf>
    <xf numFmtId="10" fontId="7" fillId="9" borderId="3" xfId="0" applyNumberFormat="1" applyFont="1" applyFill="1" applyBorder="1" applyProtection="1">
      <protection hidden="1"/>
    </xf>
    <xf numFmtId="164" fontId="7" fillId="9" borderId="3" xfId="0" applyNumberFormat="1" applyFont="1" applyFill="1" applyBorder="1" applyAlignment="1" applyProtection="1">
      <alignment horizontal="center"/>
      <protection hidden="1"/>
    </xf>
    <xf numFmtId="0" fontId="7" fillId="9" borderId="1" xfId="0" applyFont="1" applyFill="1" applyBorder="1" applyProtection="1">
      <protection hidden="1"/>
    </xf>
    <xf numFmtId="0" fontId="7" fillId="9" borderId="2" xfId="0" applyFont="1" applyFill="1" applyBorder="1" applyProtection="1">
      <protection hidden="1"/>
    </xf>
    <xf numFmtId="0" fontId="2" fillId="13" borderId="1" xfId="0" applyFont="1" applyFill="1" applyBorder="1" applyAlignment="1" applyProtection="1">
      <alignment horizontal="center" wrapText="1"/>
      <protection hidden="1"/>
    </xf>
    <xf numFmtId="166" fontId="1" fillId="2" borderId="11" xfId="0" applyNumberFormat="1" applyFont="1" applyFill="1" applyBorder="1" applyAlignment="1" applyProtection="1">
      <alignment horizontal="center" wrapText="1"/>
      <protection hidden="1"/>
    </xf>
    <xf numFmtId="10" fontId="1" fillId="35" borderId="11" xfId="0" applyNumberFormat="1" applyFont="1" applyFill="1" applyBorder="1" applyAlignment="1" applyProtection="1">
      <alignment horizontal="center" vertical="center" wrapText="1"/>
      <protection hidden="1"/>
    </xf>
    <xf numFmtId="0" fontId="8" fillId="35" borderId="15" xfId="0" applyFont="1" applyFill="1" applyBorder="1" applyAlignment="1" applyProtection="1">
      <alignment horizontal="center" wrapText="1"/>
      <protection hidden="1"/>
    </xf>
    <xf numFmtId="0" fontId="7" fillId="34" borderId="5" xfId="0" applyFont="1" applyFill="1" applyBorder="1" applyProtection="1">
      <protection hidden="1"/>
    </xf>
    <xf numFmtId="0" fontId="7" fillId="34" borderId="2" xfId="0" applyFont="1" applyFill="1" applyBorder="1" applyProtection="1">
      <protection hidden="1"/>
    </xf>
    <xf numFmtId="164" fontId="1" fillId="36" borderId="4" xfId="0" applyNumberFormat="1" applyFont="1" applyFill="1" applyBorder="1" applyAlignment="1" applyProtection="1">
      <alignment horizontal="right" vertical="center" wrapText="1" indent="1"/>
      <protection hidden="1"/>
    </xf>
    <xf numFmtId="164" fontId="1" fillId="36" borderId="3" xfId="0" applyNumberFormat="1" applyFont="1" applyFill="1" applyBorder="1" applyAlignment="1" applyProtection="1">
      <alignment horizontal="right" vertical="center" wrapText="1" indent="1"/>
      <protection hidden="1"/>
    </xf>
    <xf numFmtId="164" fontId="1" fillId="36" borderId="6" xfId="0" applyNumberFormat="1" applyFont="1" applyFill="1" applyBorder="1" applyAlignment="1" applyProtection="1">
      <alignment horizontal="right" vertical="center" wrapText="1" indent="1"/>
      <protection hidden="1"/>
    </xf>
    <xf numFmtId="164" fontId="1" fillId="36" borderId="6" xfId="0" applyNumberFormat="1" applyFont="1" applyFill="1" applyBorder="1" applyAlignment="1" applyProtection="1">
      <alignment horizontal="right" vertical="center" wrapText="1" indent="1"/>
      <protection locked="0"/>
    </xf>
    <xf numFmtId="0" fontId="1" fillId="15" borderId="3" xfId="0" applyFont="1" applyFill="1" applyBorder="1" applyAlignment="1" applyProtection="1">
      <alignment horizontal="left" vertical="center"/>
      <protection hidden="1"/>
    </xf>
    <xf numFmtId="164" fontId="1" fillId="2" borderId="4" xfId="0" applyNumberFormat="1" applyFont="1" applyFill="1" applyBorder="1" applyAlignment="1" applyProtection="1">
      <alignment horizontal="right" vertical="center" wrapText="1" indent="1"/>
      <protection hidden="1"/>
    </xf>
    <xf numFmtId="164" fontId="1" fillId="37" borderId="4" xfId="0" applyNumberFormat="1" applyFont="1" applyFill="1" applyBorder="1" applyAlignment="1" applyProtection="1">
      <alignment horizontal="right" vertical="center" wrapText="1" indent="1"/>
      <protection hidden="1"/>
    </xf>
    <xf numFmtId="0" fontId="7" fillId="9" borderId="3" xfId="0" applyFont="1" applyFill="1" applyBorder="1" applyProtection="1">
      <protection hidden="1"/>
    </xf>
    <xf numFmtId="0" fontId="7" fillId="9" borderId="3" xfId="0" applyFont="1" applyFill="1" applyBorder="1" applyAlignment="1" applyProtection="1">
      <alignment vertical="center"/>
      <protection hidden="1"/>
    </xf>
    <xf numFmtId="0" fontId="13" fillId="34" borderId="5" xfId="0" applyFont="1" applyFill="1" applyBorder="1" applyProtection="1">
      <protection hidden="1"/>
    </xf>
    <xf numFmtId="164" fontId="29" fillId="4" borderId="3" xfId="0" applyNumberFormat="1" applyFont="1" applyFill="1" applyBorder="1" applyAlignment="1" applyProtection="1">
      <alignment horizontal="center" vertical="center"/>
      <protection hidden="1"/>
    </xf>
    <xf numFmtId="0" fontId="8" fillId="16" borderId="17" xfId="0" applyFont="1" applyFill="1" applyBorder="1" applyAlignment="1" applyProtection="1">
      <alignment vertical="center" wrapText="1"/>
      <protection hidden="1"/>
    </xf>
    <xf numFmtId="0" fontId="7" fillId="15" borderId="7" xfId="0" applyFont="1" applyFill="1" applyBorder="1" applyAlignment="1" applyProtection="1">
      <alignment horizontal="left" vertical="center"/>
      <protection hidden="1"/>
    </xf>
    <xf numFmtId="0" fontId="1" fillId="15" borderId="4" xfId="0" applyFont="1" applyFill="1" applyBorder="1" applyAlignment="1" applyProtection="1">
      <alignment horizontal="left" vertical="center"/>
      <protection hidden="1"/>
    </xf>
    <xf numFmtId="0" fontId="7" fillId="34" borderId="20" xfId="0" applyFont="1" applyFill="1" applyBorder="1" applyAlignment="1" applyProtection="1">
      <alignment horizontal="left" vertical="center"/>
      <protection hidden="1"/>
    </xf>
    <xf numFmtId="0" fontId="7" fillId="9" borderId="21" xfId="0" applyFont="1" applyFill="1" applyBorder="1" applyAlignment="1" applyProtection="1">
      <alignment vertical="center"/>
      <protection hidden="1"/>
    </xf>
    <xf numFmtId="0" fontId="29" fillId="9" borderId="23" xfId="0" applyFont="1" applyFill="1" applyBorder="1" applyAlignment="1" applyProtection="1">
      <alignment vertical="center" wrapText="1"/>
      <protection hidden="1"/>
    </xf>
    <xf numFmtId="0" fontId="7" fillId="9" borderId="24" xfId="0" applyFont="1" applyFill="1" applyBorder="1" applyAlignment="1" applyProtection="1">
      <alignment vertical="center"/>
      <protection hidden="1"/>
    </xf>
    <xf numFmtId="0" fontId="7" fillId="34" borderId="25" xfId="0" applyFont="1" applyFill="1" applyBorder="1" applyAlignment="1" applyProtection="1">
      <alignment horizontal="left" vertical="center"/>
      <protection hidden="1"/>
    </xf>
    <xf numFmtId="0" fontId="7" fillId="9" borderId="26" xfId="0" applyFont="1" applyFill="1" applyBorder="1" applyAlignment="1" applyProtection="1">
      <alignment vertical="center"/>
      <protection hidden="1"/>
    </xf>
    <xf numFmtId="0" fontId="29" fillId="9" borderId="28" xfId="0" applyFont="1" applyFill="1" applyBorder="1" applyAlignment="1" applyProtection="1">
      <alignment vertical="center" wrapText="1"/>
      <protection hidden="1"/>
    </xf>
    <xf numFmtId="0" fontId="7" fillId="9" borderId="29" xfId="0" applyFont="1" applyFill="1" applyBorder="1" applyAlignment="1" applyProtection="1">
      <alignment vertical="center"/>
      <protection hidden="1"/>
    </xf>
    <xf numFmtId="0" fontId="2" fillId="10" borderId="3" xfId="0" applyFont="1" applyFill="1" applyBorder="1" applyAlignment="1" applyProtection="1">
      <alignment horizontal="center" vertical="center" wrapText="1"/>
      <protection hidden="1"/>
    </xf>
    <xf numFmtId="0" fontId="2" fillId="9" borderId="3" xfId="0" applyFont="1" applyFill="1" applyBorder="1" applyAlignment="1" applyProtection="1">
      <alignment horizontal="center" vertical="center" wrapText="1"/>
      <protection hidden="1"/>
    </xf>
    <xf numFmtId="0" fontId="1" fillId="9" borderId="1" xfId="0" applyFont="1" applyFill="1" applyBorder="1" applyAlignment="1" applyProtection="1">
      <alignment horizontal="left" vertical="center"/>
      <protection hidden="1"/>
    </xf>
    <xf numFmtId="0" fontId="1" fillId="9" borderId="4" xfId="0" applyFont="1" applyFill="1" applyBorder="1" applyAlignment="1" applyProtection="1">
      <alignment horizontal="left" vertical="center"/>
      <protection hidden="1"/>
    </xf>
    <xf numFmtId="0" fontId="1" fillId="39" borderId="4" xfId="0" applyFont="1" applyFill="1" applyBorder="1" applyAlignment="1" applyProtection="1">
      <alignment horizontal="left" vertical="center"/>
      <protection hidden="1"/>
    </xf>
    <xf numFmtId="164" fontId="1" fillId="9" borderId="4" xfId="0" applyNumberFormat="1" applyFont="1" applyFill="1" applyBorder="1" applyAlignment="1" applyProtection="1">
      <alignment horizontal="right" vertical="center" wrapText="1" indent="1"/>
      <protection hidden="1"/>
    </xf>
    <xf numFmtId="0" fontId="1" fillId="4" borderId="1" xfId="0" applyFont="1" applyFill="1" applyBorder="1" applyAlignment="1" applyProtection="1">
      <alignment horizontal="center" wrapText="1"/>
      <protection hidden="1"/>
    </xf>
    <xf numFmtId="0" fontId="1" fillId="4" borderId="2" xfId="0" applyFont="1" applyFill="1" applyBorder="1" applyAlignment="1" applyProtection="1">
      <alignment horizontal="center" wrapText="1"/>
      <protection hidden="1"/>
    </xf>
    <xf numFmtId="168" fontId="30" fillId="38" borderId="3" xfId="0" applyNumberFormat="1" applyFont="1" applyFill="1" applyBorder="1" applyAlignment="1" applyProtection="1">
      <alignment horizontal="center"/>
      <protection hidden="1"/>
    </xf>
    <xf numFmtId="0" fontId="0" fillId="2" borderId="0" xfId="0" applyFill="1" applyBorder="1" applyProtection="1">
      <protection hidden="1"/>
    </xf>
    <xf numFmtId="0" fontId="0" fillId="40" borderId="34" xfId="0" applyFill="1" applyBorder="1" applyAlignment="1" applyProtection="1">
      <alignment horizontal="center"/>
      <protection locked="0"/>
    </xf>
    <xf numFmtId="0" fontId="0" fillId="40" borderId="35" xfId="0" applyFill="1" applyBorder="1" applyAlignment="1" applyProtection="1">
      <alignment horizontal="center"/>
      <protection locked="0"/>
    </xf>
    <xf numFmtId="0" fontId="0" fillId="0" borderId="35" xfId="0" applyBorder="1" applyAlignment="1" applyProtection="1">
      <alignment horizontal="center"/>
      <protection locked="0"/>
    </xf>
    <xf numFmtId="14" fontId="0" fillId="0" borderId="35" xfId="0" applyNumberFormat="1" applyBorder="1" applyAlignment="1" applyProtection="1">
      <alignment horizontal="center"/>
      <protection locked="0"/>
    </xf>
    <xf numFmtId="168" fontId="0" fillId="41" borderId="35" xfId="0" applyNumberFormat="1" applyFill="1" applyBorder="1" applyAlignment="1" applyProtection="1">
      <alignment horizontal="center"/>
      <protection hidden="1"/>
    </xf>
    <xf numFmtId="168" fontId="30" fillId="38" borderId="36" xfId="0" applyNumberFormat="1" applyFont="1" applyFill="1" applyBorder="1" applyAlignment="1" applyProtection="1">
      <alignment horizontal="center"/>
      <protection hidden="1"/>
    </xf>
    <xf numFmtId="0" fontId="0" fillId="2" borderId="37" xfId="0" applyFill="1" applyBorder="1" applyProtection="1">
      <protection hidden="1"/>
    </xf>
    <xf numFmtId="0" fontId="0" fillId="2" borderId="38" xfId="0" applyFill="1" applyBorder="1" applyProtection="1">
      <protection hidden="1"/>
    </xf>
    <xf numFmtId="0" fontId="30" fillId="38" borderId="34" xfId="0" applyFont="1" applyFill="1" applyBorder="1" applyAlignment="1" applyProtection="1">
      <alignment horizontal="center"/>
      <protection hidden="1"/>
    </xf>
    <xf numFmtId="0" fontId="1" fillId="13" borderId="31" xfId="0" applyFont="1" applyFill="1" applyBorder="1" applyAlignment="1" applyProtection="1">
      <alignment horizontal="left" wrapText="1"/>
      <protection hidden="1"/>
    </xf>
    <xf numFmtId="168" fontId="30" fillId="38" borderId="42" xfId="0" applyNumberFormat="1" applyFont="1" applyFill="1" applyBorder="1" applyAlignment="1" applyProtection="1">
      <alignment horizontal="center"/>
      <protection hidden="1"/>
    </xf>
    <xf numFmtId="168" fontId="0" fillId="41" borderId="1" xfId="0" applyNumberFormat="1" applyFill="1" applyBorder="1" applyAlignment="1" applyProtection="1">
      <alignment horizontal="center"/>
      <protection hidden="1"/>
    </xf>
    <xf numFmtId="10" fontId="0" fillId="13" borderId="6" xfId="0" applyNumberFormat="1" applyFill="1" applyBorder="1" applyAlignment="1" applyProtection="1">
      <alignment horizontal="center"/>
      <protection hidden="1"/>
    </xf>
    <xf numFmtId="10" fontId="26" fillId="13" borderId="4" xfId="0" applyNumberFormat="1" applyFont="1" applyFill="1" applyBorder="1" applyAlignment="1" applyProtection="1">
      <alignment horizontal="center"/>
      <protection hidden="1"/>
    </xf>
    <xf numFmtId="0" fontId="0" fillId="13" borderId="37" xfId="0" applyFill="1" applyBorder="1" applyProtection="1">
      <protection hidden="1"/>
    </xf>
    <xf numFmtId="0" fontId="0" fillId="13" borderId="38" xfId="0" applyFill="1" applyBorder="1" applyProtection="1">
      <protection hidden="1"/>
    </xf>
    <xf numFmtId="0" fontId="13" fillId="2" borderId="3" xfId="0" applyFont="1" applyFill="1" applyBorder="1" applyProtection="1">
      <protection hidden="1"/>
    </xf>
    <xf numFmtId="0" fontId="1" fillId="13" borderId="33" xfId="0" applyFont="1" applyFill="1" applyBorder="1" applyAlignment="1" applyProtection="1">
      <alignment horizontal="left" wrapText="1"/>
      <protection hidden="1"/>
    </xf>
    <xf numFmtId="0" fontId="1" fillId="13" borderId="2" xfId="0" applyFont="1" applyFill="1" applyBorder="1" applyAlignment="1" applyProtection="1">
      <alignment horizontal="left" wrapText="1"/>
      <protection hidden="1"/>
    </xf>
    <xf numFmtId="0" fontId="0" fillId="42" borderId="45" xfId="0" applyFill="1" applyBorder="1" applyProtection="1">
      <protection hidden="1"/>
    </xf>
    <xf numFmtId="0" fontId="0" fillId="43" borderId="46" xfId="0" applyFill="1" applyBorder="1" applyProtection="1">
      <protection hidden="1"/>
    </xf>
    <xf numFmtId="0" fontId="0" fillId="42" borderId="46" xfId="0" applyFill="1" applyBorder="1" applyProtection="1">
      <protection hidden="1"/>
    </xf>
    <xf numFmtId="168" fontId="0" fillId="0" borderId="0" xfId="0" applyNumberFormat="1" applyProtection="1">
      <protection hidden="1"/>
    </xf>
    <xf numFmtId="4" fontId="7" fillId="6" borderId="3" xfId="0" applyNumberFormat="1" applyFont="1" applyFill="1" applyBorder="1" applyAlignment="1" applyProtection="1">
      <alignment horizontal="center"/>
      <protection hidden="1"/>
    </xf>
    <xf numFmtId="0" fontId="1" fillId="9" borderId="5" xfId="0" applyFont="1" applyFill="1" applyBorder="1" applyAlignment="1" applyProtection="1">
      <alignment horizontal="left" vertical="center"/>
      <protection hidden="1"/>
    </xf>
    <xf numFmtId="168" fontId="0" fillId="9" borderId="43" xfId="0" applyNumberFormat="1" applyFill="1" applyBorder="1" applyAlignment="1" applyProtection="1">
      <alignment horizontal="center"/>
      <protection locked="0"/>
    </xf>
    <xf numFmtId="10" fontId="0" fillId="9" borderId="3" xfId="1" applyNumberFormat="1" applyFont="1" applyFill="1" applyBorder="1" applyAlignment="1" applyProtection="1">
      <alignment horizontal="center"/>
      <protection locked="0"/>
    </xf>
    <xf numFmtId="4" fontId="21" fillId="18" borderId="3" xfId="0" applyNumberFormat="1" applyFont="1" applyFill="1" applyBorder="1" applyAlignment="1" applyProtection="1">
      <alignment horizontal="center" vertical="top"/>
      <protection hidden="1"/>
    </xf>
    <xf numFmtId="4" fontId="21" fillId="45" borderId="3" xfId="0" applyNumberFormat="1" applyFont="1" applyFill="1" applyBorder="1" applyAlignment="1" applyProtection="1">
      <alignment horizontal="center" vertical="top"/>
      <protection hidden="1"/>
    </xf>
    <xf numFmtId="4" fontId="24" fillId="18" borderId="3" xfId="0" applyNumberFormat="1" applyFont="1" applyFill="1" applyBorder="1" applyAlignment="1" applyProtection="1">
      <alignment horizontal="center" vertical="top" wrapText="1"/>
      <protection hidden="1"/>
    </xf>
    <xf numFmtId="4" fontId="21" fillId="45" borderId="3" xfId="0" applyNumberFormat="1" applyFont="1" applyFill="1" applyBorder="1" applyAlignment="1" applyProtection="1">
      <alignment horizontal="center"/>
      <protection hidden="1"/>
    </xf>
    <xf numFmtId="4" fontId="21" fillId="18" borderId="1" xfId="0" applyNumberFormat="1" applyFont="1" applyFill="1" applyBorder="1" applyAlignment="1" applyProtection="1">
      <alignment horizontal="center"/>
      <protection hidden="1"/>
    </xf>
    <xf numFmtId="4" fontId="21" fillId="18" borderId="3" xfId="0" applyNumberFormat="1" applyFont="1" applyFill="1" applyBorder="1" applyAlignment="1" applyProtection="1">
      <alignment horizontal="center"/>
      <protection hidden="1"/>
    </xf>
    <xf numFmtId="0" fontId="0" fillId="42" borderId="52" xfId="0" applyFill="1" applyBorder="1" applyProtection="1">
      <protection hidden="1"/>
    </xf>
    <xf numFmtId="14" fontId="0" fillId="0" borderId="43" xfId="0" applyNumberFormat="1" applyBorder="1" applyAlignment="1" applyProtection="1">
      <alignment horizontal="center"/>
      <protection locked="0"/>
    </xf>
    <xf numFmtId="0" fontId="0" fillId="43" borderId="52" xfId="0" applyFill="1" applyBorder="1" applyProtection="1">
      <protection hidden="1"/>
    </xf>
    <xf numFmtId="0" fontId="0" fillId="42" borderId="18" xfId="0" applyFill="1" applyBorder="1" applyProtection="1">
      <protection hidden="1"/>
    </xf>
    <xf numFmtId="0" fontId="0" fillId="43" borderId="47" xfId="0" applyFill="1" applyBorder="1" applyProtection="1">
      <protection hidden="1"/>
    </xf>
    <xf numFmtId="0" fontId="5" fillId="22" borderId="0" xfId="0" applyFont="1" applyFill="1" applyProtection="1">
      <protection hidden="1"/>
    </xf>
    <xf numFmtId="8" fontId="0" fillId="45" borderId="11" xfId="0" applyNumberFormat="1" applyFill="1" applyBorder="1" applyAlignment="1" applyProtection="1">
      <alignment horizontal="right"/>
      <protection hidden="1"/>
    </xf>
    <xf numFmtId="0" fontId="0" fillId="45" borderId="0" xfId="0" applyFill="1" applyProtection="1">
      <protection hidden="1"/>
    </xf>
    <xf numFmtId="8" fontId="0" fillId="18" borderId="11" xfId="0" applyNumberFormat="1" applyFill="1" applyBorder="1" applyAlignment="1" applyProtection="1">
      <alignment horizontal="right"/>
      <protection hidden="1"/>
    </xf>
    <xf numFmtId="0" fontId="0" fillId="0" borderId="0" xfId="0" applyAlignment="1">
      <alignment horizontal="center" vertical="center" wrapText="1"/>
    </xf>
    <xf numFmtId="0" fontId="0" fillId="0" borderId="3" xfId="0" applyBorder="1"/>
    <xf numFmtId="0" fontId="0" fillId="2" borderId="3" xfId="0" applyFill="1" applyBorder="1" applyAlignment="1">
      <alignment horizontal="center"/>
    </xf>
    <xf numFmtId="9" fontId="0" fillId="0" borderId="0" xfId="0" applyNumberFormat="1"/>
    <xf numFmtId="6" fontId="35" fillId="2" borderId="3" xfId="0" applyNumberFormat="1" applyFont="1" applyFill="1" applyBorder="1" applyAlignment="1">
      <alignment horizontal="center" vertical="center" wrapText="1"/>
    </xf>
    <xf numFmtId="168" fontId="0" fillId="0" borderId="0" xfId="0" applyNumberFormat="1"/>
    <xf numFmtId="0" fontId="0" fillId="9" borderId="3" xfId="0" applyFill="1" applyBorder="1"/>
    <xf numFmtId="0" fontId="0" fillId="9" borderId="3" xfId="0" applyFill="1" applyBorder="1" applyAlignment="1">
      <alignment horizontal="center"/>
    </xf>
    <xf numFmtId="168" fontId="0" fillId="9" borderId="3" xfId="0" applyNumberFormat="1" applyFill="1" applyBorder="1"/>
    <xf numFmtId="0" fontId="0" fillId="0" borderId="3" xfId="0" applyBorder="1" applyAlignment="1">
      <alignment horizontal="center"/>
    </xf>
    <xf numFmtId="0" fontId="0" fillId="0" borderId="0" xfId="0" applyAlignment="1">
      <alignment horizontal="center"/>
    </xf>
    <xf numFmtId="168" fontId="0" fillId="41" borderId="7" xfId="0" applyNumberFormat="1" applyFill="1" applyBorder="1" applyAlignment="1" applyProtection="1">
      <alignment horizontal="center"/>
      <protection hidden="1"/>
    </xf>
    <xf numFmtId="0" fontId="26" fillId="36" borderId="6" xfId="0" applyFont="1" applyFill="1" applyBorder="1" applyAlignment="1" applyProtection="1">
      <alignment horizontal="center" vertical="center" wrapText="1"/>
      <protection hidden="1"/>
    </xf>
    <xf numFmtId="4" fontId="26" fillId="36" borderId="4" xfId="0" applyNumberFormat="1" applyFont="1" applyFill="1" applyBorder="1" applyAlignment="1" applyProtection="1">
      <alignment horizontal="center"/>
      <protection hidden="1"/>
    </xf>
    <xf numFmtId="0" fontId="0" fillId="2" borderId="17" xfId="0" applyFill="1" applyBorder="1" applyAlignment="1" applyProtection="1">
      <alignment vertical="center" wrapText="1"/>
      <protection hidden="1"/>
    </xf>
    <xf numFmtId="0" fontId="26" fillId="36" borderId="17" xfId="0" applyFont="1" applyFill="1" applyBorder="1" applyAlignment="1" applyProtection="1">
      <alignment horizontal="center" vertical="center" wrapText="1"/>
      <protection hidden="1"/>
    </xf>
    <xf numFmtId="4" fontId="0" fillId="47" borderId="3" xfId="0" applyNumberFormat="1" applyFill="1" applyBorder="1"/>
    <xf numFmtId="169" fontId="0" fillId="0" borderId="0" xfId="1" applyNumberFormat="1" applyFont="1"/>
    <xf numFmtId="9" fontId="26" fillId="36" borderId="17" xfId="1" applyFont="1" applyFill="1" applyBorder="1" applyAlignment="1" applyProtection="1">
      <alignment horizontal="center"/>
      <protection hidden="1"/>
    </xf>
    <xf numFmtId="0" fontId="0" fillId="0" borderId="0" xfId="0" applyBorder="1" applyProtection="1">
      <protection hidden="1"/>
    </xf>
    <xf numFmtId="0" fontId="0" fillId="2" borderId="0" xfId="0" applyFill="1" applyBorder="1" applyAlignment="1" applyProtection="1">
      <alignment horizontal="right"/>
      <protection hidden="1"/>
    </xf>
    <xf numFmtId="0" fontId="36" fillId="2" borderId="0" xfId="0" applyFont="1" applyFill="1" applyBorder="1" applyAlignment="1" applyProtection="1">
      <alignment horizontal="right"/>
      <protection hidden="1"/>
    </xf>
    <xf numFmtId="0" fontId="1" fillId="4" borderId="1" xfId="0" applyFont="1" applyFill="1" applyBorder="1" applyAlignment="1" applyProtection="1">
      <alignment horizontal="center" wrapText="1"/>
      <protection hidden="1"/>
    </xf>
    <xf numFmtId="0" fontId="1" fillId="4" borderId="2" xfId="0" applyFont="1" applyFill="1" applyBorder="1" applyAlignment="1" applyProtection="1">
      <alignment horizontal="center" wrapText="1"/>
      <protection hidden="1"/>
    </xf>
    <xf numFmtId="0" fontId="31" fillId="44" borderId="37" xfId="0" applyFont="1" applyFill="1" applyBorder="1" applyAlignment="1" applyProtection="1">
      <alignment horizontal="center"/>
      <protection hidden="1"/>
    </xf>
    <xf numFmtId="0" fontId="31" fillId="44" borderId="38" xfId="0" applyFont="1" applyFill="1" applyBorder="1" applyAlignment="1" applyProtection="1">
      <alignment horizontal="center"/>
      <protection hidden="1"/>
    </xf>
    <xf numFmtId="0" fontId="31" fillId="44" borderId="48" xfId="0" applyFont="1" applyFill="1" applyBorder="1" applyAlignment="1" applyProtection="1">
      <alignment horizontal="center"/>
      <protection hidden="1"/>
    </xf>
    <xf numFmtId="0" fontId="32" fillId="44" borderId="40" xfId="0" applyFont="1" applyFill="1" applyBorder="1" applyAlignment="1" applyProtection="1">
      <alignment horizontal="center"/>
      <protection hidden="1"/>
    </xf>
    <xf numFmtId="0" fontId="32" fillId="44" borderId="49" xfId="0" applyFont="1" applyFill="1" applyBorder="1" applyAlignment="1" applyProtection="1">
      <alignment horizontal="center"/>
      <protection hidden="1"/>
    </xf>
    <xf numFmtId="0" fontId="32" fillId="44" borderId="50" xfId="0" applyFont="1" applyFill="1" applyBorder="1" applyAlignment="1" applyProtection="1">
      <alignment horizontal="center"/>
      <protection hidden="1"/>
    </xf>
    <xf numFmtId="0" fontId="1" fillId="13" borderId="33" xfId="0" applyFont="1" applyFill="1" applyBorder="1" applyAlignment="1" applyProtection="1">
      <alignment horizontal="left" wrapText="1"/>
      <protection hidden="1"/>
    </xf>
    <xf numFmtId="0" fontId="1" fillId="13" borderId="2" xfId="0" applyFont="1" applyFill="1" applyBorder="1" applyAlignment="1" applyProtection="1">
      <alignment horizontal="left" wrapText="1"/>
      <protection hidden="1"/>
    </xf>
    <xf numFmtId="0" fontId="1" fillId="46" borderId="53" xfId="0" applyFont="1" applyFill="1" applyBorder="1" applyAlignment="1" applyProtection="1">
      <alignment horizontal="left" vertical="center"/>
      <protection locked="0"/>
    </xf>
    <xf numFmtId="0" fontId="1" fillId="46" borderId="54" xfId="0" applyFont="1" applyFill="1" applyBorder="1" applyAlignment="1" applyProtection="1">
      <alignment horizontal="left" vertical="center"/>
      <protection locked="0"/>
    </xf>
    <xf numFmtId="0" fontId="1" fillId="46" borderId="55" xfId="0" applyFont="1" applyFill="1" applyBorder="1" applyAlignment="1" applyProtection="1">
      <alignment horizontal="left" vertical="center"/>
      <protection locked="0"/>
    </xf>
    <xf numFmtId="0" fontId="1" fillId="13" borderId="31" xfId="0" applyFont="1" applyFill="1" applyBorder="1" applyAlignment="1" applyProtection="1">
      <alignment horizontal="left" wrapText="1"/>
      <protection hidden="1"/>
    </xf>
    <xf numFmtId="0" fontId="1" fillId="13" borderId="3" xfId="0" applyFont="1" applyFill="1" applyBorder="1" applyAlignment="1" applyProtection="1">
      <alignment horizontal="left" wrapText="1"/>
      <protection hidden="1"/>
    </xf>
    <xf numFmtId="0" fontId="2" fillId="4" borderId="40" xfId="0" applyFont="1" applyFill="1" applyBorder="1" applyAlignment="1" applyProtection="1">
      <alignment horizontal="center" wrapText="1"/>
      <protection hidden="1"/>
    </xf>
    <xf numFmtId="0" fontId="2" fillId="4" borderId="41" xfId="0" applyFont="1" applyFill="1" applyBorder="1" applyAlignment="1" applyProtection="1">
      <alignment horizontal="center" wrapText="1"/>
      <protection hidden="1"/>
    </xf>
    <xf numFmtId="0" fontId="8" fillId="6" borderId="1" xfId="0" applyFont="1" applyFill="1" applyBorder="1" applyAlignment="1" applyProtection="1">
      <alignment horizontal="center"/>
      <protection hidden="1"/>
    </xf>
    <xf numFmtId="0" fontId="8" fillId="6" borderId="2" xfId="0" applyFont="1" applyFill="1" applyBorder="1" applyAlignment="1" applyProtection="1">
      <alignment horizontal="center"/>
      <protection hidden="1"/>
    </xf>
    <xf numFmtId="0" fontId="2" fillId="4" borderId="25" xfId="0" applyFont="1" applyFill="1" applyBorder="1" applyAlignment="1" applyProtection="1">
      <alignment horizontal="center" wrapText="1"/>
      <protection hidden="1"/>
    </xf>
    <xf numFmtId="0" fontId="2" fillId="4" borderId="27" xfId="0" applyFont="1" applyFill="1" applyBorder="1" applyAlignment="1" applyProtection="1">
      <alignment horizontal="center" wrapText="1"/>
      <protection hidden="1"/>
    </xf>
    <xf numFmtId="0" fontId="1" fillId="13" borderId="31" xfId="0" applyFont="1" applyFill="1" applyBorder="1" applyAlignment="1" applyProtection="1">
      <alignment horizontal="left" vertical="center"/>
      <protection hidden="1"/>
    </xf>
    <xf numFmtId="0" fontId="1" fillId="13" borderId="3" xfId="0" applyFont="1" applyFill="1" applyBorder="1" applyAlignment="1" applyProtection="1">
      <alignment horizontal="left" vertical="center"/>
      <protection hidden="1"/>
    </xf>
    <xf numFmtId="0" fontId="7" fillId="40" borderId="31" xfId="0" applyFont="1" applyFill="1" applyBorder="1" applyAlignment="1" applyProtection="1">
      <alignment horizontal="left" vertical="center"/>
      <protection hidden="1"/>
    </xf>
    <xf numFmtId="0" fontId="7" fillId="40" borderId="3" xfId="0" applyFont="1" applyFill="1" applyBorder="1" applyAlignment="1" applyProtection="1">
      <alignment horizontal="left" vertical="center"/>
      <protection hidden="1"/>
    </xf>
    <xf numFmtId="0" fontId="2" fillId="13" borderId="31" xfId="0" applyFont="1" applyFill="1" applyBorder="1" applyAlignment="1" applyProtection="1">
      <alignment horizontal="left" vertical="center"/>
      <protection hidden="1"/>
    </xf>
    <xf numFmtId="0" fontId="2" fillId="13" borderId="3" xfId="0" applyFont="1" applyFill="1" applyBorder="1" applyAlignment="1" applyProtection="1">
      <alignment horizontal="left" vertical="center"/>
      <protection hidden="1"/>
    </xf>
    <xf numFmtId="0" fontId="1" fillId="40" borderId="31" xfId="0" applyFont="1" applyFill="1" applyBorder="1" applyAlignment="1" applyProtection="1">
      <alignment horizontal="left" vertical="center"/>
      <protection hidden="1"/>
    </xf>
    <xf numFmtId="0" fontId="1" fillId="40" borderId="3" xfId="0" applyFont="1" applyFill="1" applyBorder="1" applyAlignment="1" applyProtection="1">
      <alignment horizontal="left" vertical="center"/>
      <protection hidden="1"/>
    </xf>
    <xf numFmtId="0" fontId="8" fillId="13" borderId="31" xfId="0" applyFont="1" applyFill="1" applyBorder="1" applyAlignment="1" applyProtection="1">
      <alignment horizontal="left" vertical="center"/>
      <protection hidden="1"/>
    </xf>
    <xf numFmtId="0" fontId="8" fillId="13" borderId="3" xfId="0" applyFont="1" applyFill="1" applyBorder="1" applyAlignment="1" applyProtection="1">
      <alignment horizontal="left" vertical="center"/>
      <protection hidden="1"/>
    </xf>
    <xf numFmtId="0" fontId="1" fillId="13" borderId="30" xfId="0" applyFont="1" applyFill="1" applyBorder="1" applyAlignment="1" applyProtection="1">
      <alignment horizontal="left" vertical="center"/>
      <protection hidden="1"/>
    </xf>
    <xf numFmtId="0" fontId="1" fillId="13" borderId="44" xfId="0" applyFont="1" applyFill="1" applyBorder="1" applyAlignment="1" applyProtection="1">
      <alignment horizontal="left" vertical="center"/>
      <protection hidden="1"/>
    </xf>
    <xf numFmtId="0" fontId="1" fillId="13" borderId="33" xfId="0" applyFont="1" applyFill="1" applyBorder="1" applyAlignment="1" applyProtection="1">
      <alignment horizontal="left"/>
      <protection hidden="1"/>
    </xf>
    <xf numFmtId="0" fontId="1" fillId="13" borderId="2" xfId="0" applyFont="1" applyFill="1" applyBorder="1" applyAlignment="1" applyProtection="1">
      <alignment horizontal="left"/>
      <protection hidden="1"/>
    </xf>
    <xf numFmtId="0" fontId="32" fillId="44" borderId="56" xfId="0" applyFont="1" applyFill="1" applyBorder="1" applyAlignment="1" applyProtection="1">
      <alignment horizontal="center"/>
      <protection hidden="1"/>
    </xf>
    <xf numFmtId="0" fontId="32" fillId="44" borderId="57" xfId="0" applyFont="1" applyFill="1" applyBorder="1" applyAlignment="1" applyProtection="1">
      <alignment horizontal="center"/>
      <protection hidden="1"/>
    </xf>
    <xf numFmtId="0" fontId="32" fillId="44" borderId="58" xfId="0" applyFont="1" applyFill="1" applyBorder="1" applyAlignment="1" applyProtection="1">
      <alignment horizontal="center"/>
      <protection hidden="1"/>
    </xf>
    <xf numFmtId="0" fontId="1" fillId="40" borderId="51" xfId="0" applyFont="1" applyFill="1" applyBorder="1" applyAlignment="1" applyProtection="1">
      <alignment horizontal="left" vertical="center"/>
      <protection hidden="1"/>
    </xf>
    <xf numFmtId="0" fontId="1" fillId="40" borderId="6" xfId="0" applyFont="1" applyFill="1" applyBorder="1" applyAlignment="1" applyProtection="1">
      <alignment horizontal="left" vertical="center"/>
      <protection hidden="1"/>
    </xf>
    <xf numFmtId="0" fontId="7" fillId="13" borderId="33" xfId="0" applyFont="1" applyFill="1" applyBorder="1" applyAlignment="1" applyProtection="1">
      <alignment horizontal="left"/>
      <protection hidden="1"/>
    </xf>
    <xf numFmtId="0" fontId="7" fillId="13" borderId="2" xfId="0" applyFont="1" applyFill="1" applyBorder="1" applyAlignment="1" applyProtection="1">
      <alignment horizontal="left"/>
      <protection hidden="1"/>
    </xf>
    <xf numFmtId="0" fontId="0" fillId="46" borderId="31" xfId="0" applyFill="1" applyBorder="1" applyAlignment="1" applyProtection="1">
      <alignment horizontal="left"/>
      <protection locked="0"/>
    </xf>
    <xf numFmtId="0" fontId="0" fillId="46" borderId="3" xfId="0" applyFill="1" applyBorder="1" applyAlignment="1" applyProtection="1">
      <alignment horizontal="left"/>
      <protection locked="0"/>
    </xf>
    <xf numFmtId="0" fontId="0" fillId="46" borderId="32" xfId="0" applyFill="1" applyBorder="1" applyAlignment="1" applyProtection="1">
      <alignment horizontal="left"/>
      <protection locked="0"/>
    </xf>
    <xf numFmtId="0" fontId="0" fillId="46" borderId="39" xfId="0" applyFill="1" applyBorder="1" applyAlignment="1" applyProtection="1">
      <alignment horizontal="left"/>
      <protection locked="0"/>
    </xf>
    <xf numFmtId="0" fontId="3" fillId="8" borderId="1" xfId="0" applyFont="1" applyFill="1" applyBorder="1" applyAlignment="1" applyProtection="1">
      <alignment horizontal="center" vertical="center"/>
      <protection hidden="1"/>
    </xf>
    <xf numFmtId="0" fontId="8" fillId="8" borderId="5" xfId="0" applyFont="1" applyFill="1" applyBorder="1" applyAlignment="1" applyProtection="1">
      <alignment horizontal="center" vertical="center"/>
      <protection hidden="1"/>
    </xf>
    <xf numFmtId="0" fontId="8" fillId="8" borderId="2" xfId="0" applyFont="1" applyFill="1" applyBorder="1" applyAlignment="1" applyProtection="1">
      <alignment horizontal="center" vertical="center"/>
      <protection hidden="1"/>
    </xf>
    <xf numFmtId="0" fontId="4" fillId="16" borderId="1" xfId="0" applyFont="1" applyFill="1" applyBorder="1" applyAlignment="1" applyProtection="1">
      <alignment horizontal="left" wrapText="1"/>
      <protection locked="0"/>
    </xf>
    <xf numFmtId="0" fontId="4" fillId="16" borderId="2" xfId="0" applyFont="1" applyFill="1" applyBorder="1" applyAlignment="1" applyProtection="1">
      <alignment horizontal="left" wrapText="1"/>
      <protection locked="0"/>
    </xf>
    <xf numFmtId="0" fontId="2" fillId="12" borderId="3" xfId="0" applyFont="1" applyFill="1" applyBorder="1" applyAlignment="1" applyProtection="1">
      <alignment horizontal="center" wrapText="1"/>
      <protection hidden="1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2" fillId="2" borderId="10" xfId="0" applyFont="1" applyFill="1" applyBorder="1" applyAlignment="1" applyProtection="1">
      <alignment horizontal="center" vertical="center"/>
      <protection locked="0"/>
    </xf>
    <xf numFmtId="0" fontId="2" fillId="2" borderId="21" xfId="0" applyFont="1" applyFill="1" applyBorder="1" applyAlignment="1" applyProtection="1">
      <alignment horizontal="center" vertical="center"/>
      <protection locked="0"/>
    </xf>
    <xf numFmtId="0" fontId="2" fillId="2" borderId="22" xfId="0" applyFont="1" applyFill="1" applyBorder="1" applyAlignment="1" applyProtection="1">
      <alignment horizontal="center" vertical="center"/>
      <protection locked="0"/>
    </xf>
    <xf numFmtId="0" fontId="2" fillId="2" borderId="26" xfId="0" applyFont="1" applyFill="1" applyBorder="1" applyAlignment="1" applyProtection="1">
      <alignment horizontal="center" vertical="center"/>
      <protection locked="0"/>
    </xf>
    <xf numFmtId="0" fontId="2" fillId="2" borderId="27" xfId="0" applyFont="1" applyFill="1" applyBorder="1" applyAlignment="1" applyProtection="1">
      <alignment horizontal="center" vertical="center"/>
      <protection locked="0"/>
    </xf>
    <xf numFmtId="9" fontId="2" fillId="2" borderId="4" xfId="0" applyNumberFormat="1" applyFont="1" applyFill="1" applyBorder="1" applyAlignment="1" applyProtection="1">
      <alignment horizontal="center" vertical="center"/>
      <protection locked="0"/>
    </xf>
    <xf numFmtId="167" fontId="2" fillId="38" borderId="1" xfId="0" applyNumberFormat="1" applyFont="1" applyFill="1" applyBorder="1" applyAlignment="1" applyProtection="1">
      <alignment horizontal="center" vertical="center"/>
      <protection locked="0"/>
    </xf>
    <xf numFmtId="167" fontId="2" fillId="38" borderId="2" xfId="0" applyNumberFormat="1" applyFont="1" applyFill="1" applyBorder="1" applyAlignment="1" applyProtection="1">
      <alignment horizontal="center" vertical="center"/>
      <protection locked="0"/>
    </xf>
    <xf numFmtId="1" fontId="2" fillId="9" borderId="1" xfId="0" applyNumberFormat="1" applyFont="1" applyFill="1" applyBorder="1" applyAlignment="1" applyProtection="1">
      <alignment horizontal="center" vertical="center"/>
      <protection locked="0"/>
    </xf>
    <xf numFmtId="1" fontId="2" fillId="9" borderId="2" xfId="0" applyNumberFormat="1" applyFont="1" applyFill="1" applyBorder="1" applyAlignment="1" applyProtection="1">
      <alignment horizontal="center" vertical="center"/>
      <protection locked="0"/>
    </xf>
    <xf numFmtId="10" fontId="2" fillId="2" borderId="1" xfId="0" applyNumberFormat="1" applyFont="1" applyFill="1" applyBorder="1" applyAlignment="1" applyProtection="1">
      <alignment horizontal="center" vertical="center"/>
      <protection locked="0"/>
    </xf>
    <xf numFmtId="10" fontId="2" fillId="2" borderId="2" xfId="0" applyNumberFormat="1" applyFont="1" applyFill="1" applyBorder="1" applyAlignment="1" applyProtection="1">
      <alignment horizontal="center" vertical="center"/>
      <protection locked="0"/>
    </xf>
    <xf numFmtId="10" fontId="2" fillId="2" borderId="3" xfId="0" applyNumberFormat="1" applyFont="1" applyFill="1" applyBorder="1" applyAlignment="1" applyProtection="1">
      <alignment horizontal="center" vertical="center"/>
      <protection locked="0"/>
    </xf>
    <xf numFmtId="0" fontId="8" fillId="6" borderId="3" xfId="0" applyFont="1" applyFill="1" applyBorder="1" applyAlignment="1" applyProtection="1">
      <alignment horizontal="center" vertical="center"/>
      <protection hidden="1"/>
    </xf>
    <xf numFmtId="0" fontId="8" fillId="32" borderId="1" xfId="0" applyFont="1" applyFill="1" applyBorder="1" applyAlignment="1" applyProtection="1">
      <alignment horizontal="center" vertical="center"/>
      <protection hidden="1"/>
    </xf>
    <xf numFmtId="0" fontId="8" fillId="32" borderId="2" xfId="0" applyFont="1" applyFill="1" applyBorder="1" applyAlignment="1" applyProtection="1">
      <alignment horizontal="center" vertical="center"/>
      <protection hidden="1"/>
    </xf>
    <xf numFmtId="0" fontId="8" fillId="38" borderId="1" xfId="0" applyFont="1" applyFill="1" applyBorder="1" applyAlignment="1" applyProtection="1">
      <alignment horizontal="center" vertical="center"/>
      <protection hidden="1"/>
    </xf>
    <xf numFmtId="0" fontId="8" fillId="38" borderId="2" xfId="0" applyFont="1" applyFill="1" applyBorder="1" applyAlignment="1" applyProtection="1">
      <alignment horizontal="center" vertical="center"/>
      <protection hidden="1"/>
    </xf>
    <xf numFmtId="0" fontId="14" fillId="19" borderId="7" xfId="0" applyFont="1" applyFill="1" applyBorder="1" applyAlignment="1" applyProtection="1">
      <alignment horizontal="center" vertical="center"/>
      <protection hidden="1"/>
    </xf>
    <xf numFmtId="0" fontId="14" fillId="19" borderId="10" xfId="0" applyFont="1" applyFill="1" applyBorder="1" applyAlignment="1" applyProtection="1">
      <alignment horizontal="center" vertical="center"/>
      <protection hidden="1"/>
    </xf>
    <xf numFmtId="0" fontId="14" fillId="19" borderId="8" xfId="0" applyFont="1" applyFill="1" applyBorder="1" applyAlignment="1" applyProtection="1">
      <alignment horizontal="center" vertical="center"/>
      <protection hidden="1"/>
    </xf>
    <xf numFmtId="0" fontId="12" fillId="9" borderId="9" xfId="0" applyFont="1" applyFill="1" applyBorder="1" applyAlignment="1" applyProtection="1">
      <alignment horizontal="center" vertical="center"/>
      <protection hidden="1"/>
    </xf>
    <xf numFmtId="0" fontId="12" fillId="9" borderId="0" xfId="0" applyFont="1" applyFill="1" applyBorder="1" applyAlignment="1" applyProtection="1">
      <alignment horizontal="center" vertical="center"/>
      <protection hidden="1"/>
    </xf>
    <xf numFmtId="0" fontId="12" fillId="9" borderId="16" xfId="0" applyFont="1" applyFill="1" applyBorder="1" applyAlignment="1" applyProtection="1">
      <alignment horizontal="center" vertical="center"/>
      <protection hidden="1"/>
    </xf>
    <xf numFmtId="0" fontId="15" fillId="19" borderId="11" xfId="0" applyFont="1" applyFill="1" applyBorder="1" applyAlignment="1" applyProtection="1">
      <alignment horizontal="center" vertical="center"/>
      <protection hidden="1"/>
    </xf>
    <xf numFmtId="0" fontId="15" fillId="19" borderId="12" xfId="0" applyFont="1" applyFill="1" applyBorder="1" applyAlignment="1" applyProtection="1">
      <alignment horizontal="center" vertical="center"/>
      <protection hidden="1"/>
    </xf>
    <xf numFmtId="0" fontId="15" fillId="19" borderId="13" xfId="0" applyFont="1" applyFill="1" applyBorder="1" applyAlignment="1" applyProtection="1">
      <alignment horizontal="center" vertical="center"/>
      <protection hidden="1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2" borderId="6" xfId="0" applyFont="1" applyFill="1" applyBorder="1" applyAlignment="1" applyProtection="1">
      <alignment horizontal="center" vertical="center"/>
      <protection locked="0"/>
    </xf>
    <xf numFmtId="0" fontId="8" fillId="9" borderId="1" xfId="0" applyFont="1" applyFill="1" applyBorder="1" applyAlignment="1" applyProtection="1">
      <alignment horizontal="left" vertical="center"/>
      <protection hidden="1"/>
    </xf>
    <xf numFmtId="0" fontId="8" fillId="9" borderId="2" xfId="0" applyFont="1" applyFill="1" applyBorder="1" applyAlignment="1" applyProtection="1">
      <alignment horizontal="left" vertical="center"/>
      <protection hidden="1"/>
    </xf>
    <xf numFmtId="0" fontId="22" fillId="2" borderId="1" xfId="0" applyFont="1" applyFill="1" applyBorder="1" applyAlignment="1" applyProtection="1">
      <alignment horizontal="center" vertical="center"/>
      <protection locked="0"/>
    </xf>
    <xf numFmtId="0" fontId="22" fillId="2" borderId="5" xfId="0" applyFont="1" applyFill="1" applyBorder="1" applyAlignment="1" applyProtection="1">
      <alignment horizontal="center" vertical="center"/>
      <protection locked="0"/>
    </xf>
    <xf numFmtId="0" fontId="8" fillId="16" borderId="18" xfId="0" applyFont="1" applyFill="1" applyBorder="1" applyAlignment="1" applyProtection="1">
      <alignment horizontal="center" vertical="center" wrapText="1"/>
      <protection hidden="1"/>
    </xf>
    <xf numFmtId="0" fontId="8" fillId="16" borderId="19" xfId="0" applyFont="1" applyFill="1" applyBorder="1" applyAlignment="1" applyProtection="1">
      <alignment horizontal="center" vertical="center" wrapText="1"/>
      <protection hidden="1"/>
    </xf>
    <xf numFmtId="1" fontId="2" fillId="2" borderId="1" xfId="0" applyNumberFormat="1" applyFont="1" applyFill="1" applyBorder="1" applyAlignment="1" applyProtection="1">
      <alignment horizontal="center" vertical="center"/>
      <protection locked="0"/>
    </xf>
    <xf numFmtId="1" fontId="2" fillId="2" borderId="5" xfId="0" applyNumberFormat="1" applyFont="1" applyFill="1" applyBorder="1" applyAlignment="1" applyProtection="1">
      <alignment horizontal="center" vertical="center"/>
      <protection locked="0"/>
    </xf>
    <xf numFmtId="0" fontId="8" fillId="2" borderId="1" xfId="0" applyFont="1" applyFill="1" applyBorder="1" applyAlignment="1" applyProtection="1">
      <alignment horizontal="center" vertical="center"/>
      <protection locked="0"/>
    </xf>
    <xf numFmtId="0" fontId="8" fillId="2" borderId="5" xfId="0" applyFont="1" applyFill="1" applyBorder="1" applyAlignment="1" applyProtection="1">
      <alignment horizontal="center" vertical="center"/>
      <protection locked="0"/>
    </xf>
    <xf numFmtId="164" fontId="19" fillId="17" borderId="3" xfId="0" applyNumberFormat="1" applyFont="1" applyFill="1" applyBorder="1" applyAlignment="1" applyProtection="1">
      <protection hidden="1"/>
    </xf>
    <xf numFmtId="0" fontId="16" fillId="0" borderId="1" xfId="0" applyFont="1" applyBorder="1" applyAlignment="1" applyProtection="1">
      <alignment horizontal="left"/>
      <protection locked="0"/>
    </xf>
    <xf numFmtId="0" fontId="16" fillId="0" borderId="2" xfId="0" applyFont="1" applyBorder="1" applyAlignment="1" applyProtection="1">
      <alignment horizontal="left"/>
      <protection locked="0"/>
    </xf>
    <xf numFmtId="0" fontId="17" fillId="14" borderId="9" xfId="0" applyFont="1" applyFill="1" applyBorder="1" applyAlignment="1" applyProtection="1">
      <alignment horizontal="center"/>
      <protection hidden="1"/>
    </xf>
    <xf numFmtId="0" fontId="17" fillId="14" borderId="0" xfId="0" applyFont="1" applyFill="1" applyBorder="1" applyAlignment="1" applyProtection="1">
      <alignment horizontal="center"/>
      <protection hidden="1"/>
    </xf>
    <xf numFmtId="0" fontId="18" fillId="9" borderId="3" xfId="0" applyFont="1" applyFill="1" applyBorder="1" applyAlignment="1" applyProtection="1">
      <alignment horizontal="center"/>
      <protection hidden="1"/>
    </xf>
    <xf numFmtId="4" fontId="0" fillId="18" borderId="3" xfId="0" applyNumberFormat="1" applyFill="1" applyBorder="1" applyAlignment="1" applyProtection="1">
      <alignment horizontal="right" vertical="center"/>
      <protection hidden="1"/>
    </xf>
    <xf numFmtId="0" fontId="16" fillId="0" borderId="1" xfId="0" applyFont="1" applyBorder="1" applyAlignment="1" applyProtection="1">
      <alignment horizontal="left"/>
      <protection hidden="1"/>
    </xf>
    <xf numFmtId="0" fontId="16" fillId="0" borderId="2" xfId="0" applyFont="1" applyBorder="1" applyAlignment="1" applyProtection="1">
      <alignment horizontal="left"/>
      <protection hidden="1"/>
    </xf>
    <xf numFmtId="0" fontId="16" fillId="0" borderId="3" xfId="0" applyFont="1" applyBorder="1" applyAlignment="1" applyProtection="1">
      <alignment horizontal="center"/>
      <protection hidden="1"/>
    </xf>
    <xf numFmtId="0" fontId="34" fillId="6" borderId="0" xfId="0" applyFont="1" applyFill="1" applyAlignment="1" applyProtection="1">
      <alignment horizontal="center"/>
      <protection hidden="1"/>
    </xf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colors>
    <mruColors>
      <color rgb="FFEADCF4"/>
      <color rgb="FF4BD0FF"/>
      <color rgb="FFFEECDE"/>
      <color rgb="FFF9B277"/>
      <color rgb="FFFFFFB7"/>
      <color rgb="FFF58223"/>
      <color rgb="FFDAC2EC"/>
      <color rgb="FFFABA8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cuments/Insucan%202018%202019/Jubilaci&#243;n/Jubil2018%20(Presup2018jul%20a%20Dic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RESULTADO"/>
      <sheetName val="Tiempos de cotización"/>
      <sheetName val="DatosIRPF"/>
      <sheetName val="Haber Regulador"/>
      <sheetName val="IRPFPensión"/>
      <sheetName val="Retribuciones"/>
      <sheetName val="Normativas"/>
      <sheetName val="IRPF A1"/>
      <sheetName val="IRPFPensiónMax"/>
      <sheetName val="IRPF Maestros"/>
      <sheetName val="IRPF 1º y 2ª ESO"/>
      <sheetName val="IRPF TecnFP"/>
      <sheetName val="IRPF Secund"/>
      <sheetName val="IRPF Catred"/>
      <sheetName val="IRPF Inspect"/>
      <sheetName val="deducciones"/>
      <sheetName val="Importe"/>
      <sheetName val="Cálculo sencillo"/>
      <sheetName val="Hoja2"/>
    </sheetNames>
    <sheetDataSet>
      <sheetData sheetId="0" refreshError="1">
        <row r="11">
          <cell r="E11" t="str">
            <v>Profesores de Enseñanza Secundaria</v>
          </cell>
        </row>
        <row r="17">
          <cell r="S17" t="str">
            <v>Isla Capitalina</v>
          </cell>
        </row>
      </sheetData>
      <sheetData sheetId="1" refreshError="1"/>
      <sheetData sheetId="2" refreshError="1">
        <row r="5">
          <cell r="K5">
            <v>10</v>
          </cell>
        </row>
        <row r="6">
          <cell r="K6">
            <v>0</v>
          </cell>
        </row>
        <row r="7">
          <cell r="K7">
            <v>0</v>
          </cell>
        </row>
        <row r="8">
          <cell r="K8">
            <v>0</v>
          </cell>
        </row>
        <row r="9">
          <cell r="K9">
            <v>0</v>
          </cell>
        </row>
        <row r="10">
          <cell r="K10">
            <v>0</v>
          </cell>
        </row>
      </sheetData>
      <sheetData sheetId="3" refreshError="1"/>
      <sheetData sheetId="4" refreshError="1"/>
      <sheetData sheetId="5" refreshError="1"/>
      <sheetData sheetId="6" refreshError="1">
        <row r="4">
          <cell r="C4" t="str">
            <v>Inspector</v>
          </cell>
          <cell r="AD4">
            <v>10</v>
          </cell>
        </row>
        <row r="5">
          <cell r="C5" t="str">
            <v>Catedrático</v>
          </cell>
          <cell r="AD5">
            <v>10</v>
          </cell>
        </row>
        <row r="6">
          <cell r="C6" t="str">
            <v>Profesores de Artes Plásticas y Diseño</v>
          </cell>
          <cell r="AD6">
            <v>10</v>
          </cell>
        </row>
        <row r="7">
          <cell r="C7" t="str">
            <v>Profesores de Musica y Artes Escénicas</v>
          </cell>
          <cell r="AD7">
            <v>10</v>
          </cell>
        </row>
        <row r="8">
          <cell r="C8" t="str">
            <v>Profesores de Escuelas Oficiales de Idiomas</v>
          </cell>
          <cell r="AD8">
            <v>10</v>
          </cell>
        </row>
        <row r="9">
          <cell r="C9" t="str">
            <v>Profesores de Enseñanza Secundaria</v>
          </cell>
          <cell r="AD9">
            <v>10</v>
          </cell>
        </row>
        <row r="10">
          <cell r="C10" t="str">
            <v>Maestros de Taller de Artes Plásticas y Diseño</v>
          </cell>
          <cell r="AD10">
            <v>0</v>
          </cell>
        </row>
        <row r="11">
          <cell r="C11" t="str">
            <v>Profesores Técnicos de Formación Profesional</v>
          </cell>
          <cell r="AD11">
            <v>0</v>
          </cell>
        </row>
        <row r="12">
          <cell r="C12" t="str">
            <v>Maestros 1º y 2º ESO</v>
          </cell>
          <cell r="AD12">
            <v>0</v>
          </cell>
        </row>
        <row r="13">
          <cell r="C13" t="str">
            <v>Maestros</v>
          </cell>
          <cell r="AD13">
            <v>0</v>
          </cell>
        </row>
      </sheetData>
      <sheetData sheetId="7" refreshError="1"/>
      <sheetData sheetId="8" refreshError="1"/>
      <sheetData sheetId="9" refreshError="1"/>
      <sheetData sheetId="10" refreshError="1">
        <row r="37">
          <cell r="B37">
            <v>0.19440379057901822</v>
          </cell>
        </row>
      </sheetData>
      <sheetData sheetId="11" refreshError="1">
        <row r="37">
          <cell r="B37">
            <v>0.19742671928307923</v>
          </cell>
        </row>
      </sheetData>
      <sheetData sheetId="12" refreshError="1">
        <row r="37">
          <cell r="B37">
            <v>0.19764910426018828</v>
          </cell>
        </row>
      </sheetData>
      <sheetData sheetId="13" refreshError="1">
        <row r="37">
          <cell r="B37">
            <v>0.20145853945549197</v>
          </cell>
        </row>
      </sheetData>
      <sheetData sheetId="14" refreshError="1">
        <row r="37">
          <cell r="B37">
            <v>0.21154822438283008</v>
          </cell>
        </row>
      </sheetData>
      <sheetData sheetId="15" refreshError="1">
        <row r="37">
          <cell r="B37">
            <v>0.24184213748526701</v>
          </cell>
        </row>
      </sheetData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C5C051-D15F-4031-9629-21A71EF493C5}">
  <dimension ref="A1:AX146"/>
  <sheetViews>
    <sheetView tabSelected="1" topLeftCell="A11" workbookViewId="0">
      <selection activeCell="B16" sqref="B16:C16"/>
    </sheetView>
  </sheetViews>
  <sheetFormatPr baseColWidth="10" defaultRowHeight="15" x14ac:dyDescent="0.25"/>
  <cols>
    <col min="1" max="1" width="4.5703125" style="39" customWidth="1"/>
    <col min="2" max="2" width="57.5703125" style="39" customWidth="1"/>
    <col min="3" max="3" width="9.28515625" style="39" customWidth="1"/>
    <col min="4" max="4" width="53" style="39" customWidth="1"/>
    <col min="5" max="5" width="45.85546875" style="39" bestFit="1" customWidth="1"/>
    <col min="6" max="6" width="33.140625" style="39" hidden="1" customWidth="1"/>
    <col min="7" max="7" width="49.28515625" style="39" hidden="1" customWidth="1"/>
    <col min="8" max="8" width="41.140625" style="39" hidden="1" customWidth="1"/>
    <col min="9" max="9" width="15.7109375" style="39" hidden="1" customWidth="1"/>
    <col min="10" max="10" width="8" style="39" hidden="1" customWidth="1"/>
    <col min="11" max="11" width="17.7109375" style="39" hidden="1" customWidth="1"/>
    <col min="12" max="12" width="31.140625" style="39" hidden="1" customWidth="1"/>
    <col min="13" max="18" width="11.42578125" style="39" hidden="1" customWidth="1"/>
    <col min="19" max="19" width="85.140625" style="1" hidden="1" customWidth="1"/>
    <col min="20" max="20" width="8" style="1" hidden="1" customWidth="1"/>
    <col min="21" max="21" width="2" style="39" hidden="1" customWidth="1"/>
    <col min="22" max="24" width="0" style="39" hidden="1" customWidth="1"/>
    <col min="25" max="25" width="2" style="39" hidden="1" customWidth="1"/>
    <col min="26" max="48" width="0" style="39" hidden="1" customWidth="1"/>
    <col min="49" max="16384" width="11.42578125" style="39"/>
  </cols>
  <sheetData>
    <row r="1" spans="1:50" ht="23.25" x14ac:dyDescent="0.35">
      <c r="A1" s="192"/>
      <c r="B1" s="259" t="s">
        <v>282</v>
      </c>
      <c r="C1" s="260"/>
      <c r="D1" s="260"/>
      <c r="E1" s="261"/>
      <c r="F1" s="217" t="s">
        <v>55</v>
      </c>
      <c r="G1" s="185" t="s">
        <v>54</v>
      </c>
      <c r="H1" s="185" t="s">
        <v>212</v>
      </c>
      <c r="I1" s="186" t="s">
        <v>238</v>
      </c>
      <c r="J1" s="187" t="s">
        <v>239</v>
      </c>
      <c r="K1" s="165" t="s">
        <v>237</v>
      </c>
      <c r="L1" s="173" t="s">
        <v>56</v>
      </c>
      <c r="S1" s="36"/>
      <c r="T1" s="36"/>
      <c r="AW1" s="192"/>
      <c r="AX1" s="192"/>
    </row>
    <row r="2" spans="1:50" ht="19.5" thickBot="1" x14ac:dyDescent="0.35">
      <c r="A2" s="192"/>
      <c r="B2" s="262" t="s">
        <v>250</v>
      </c>
      <c r="C2" s="263"/>
      <c r="D2" s="263"/>
      <c r="E2" s="264"/>
      <c r="F2" s="37" t="s">
        <v>131</v>
      </c>
      <c r="G2" s="37" t="s">
        <v>71</v>
      </c>
      <c r="H2" s="39" t="s">
        <v>241</v>
      </c>
      <c r="I2" s="39" t="s">
        <v>245</v>
      </c>
      <c r="J2" s="39" t="s">
        <v>243</v>
      </c>
      <c r="K2" s="37" t="s">
        <v>218</v>
      </c>
      <c r="L2" s="1" t="s">
        <v>242</v>
      </c>
      <c r="S2" s="36"/>
      <c r="T2" s="36"/>
      <c r="U2" s="1"/>
      <c r="V2" s="1"/>
      <c r="W2" s="1"/>
      <c r="AW2" s="192"/>
      <c r="AX2" s="192"/>
    </row>
    <row r="3" spans="1:50" ht="8.25" customHeight="1" thickBot="1" x14ac:dyDescent="0.3">
      <c r="A3" s="192"/>
      <c r="B3" s="192"/>
      <c r="C3" s="192"/>
      <c r="D3" s="192"/>
      <c r="E3" s="192"/>
      <c r="F3" s="37" t="s">
        <v>132</v>
      </c>
      <c r="G3" s="37" t="s">
        <v>72</v>
      </c>
      <c r="I3" s="39" t="s">
        <v>240</v>
      </c>
      <c r="J3" s="39" t="s">
        <v>244</v>
      </c>
      <c r="K3" s="37" t="s">
        <v>219</v>
      </c>
      <c r="L3" s="1" t="s">
        <v>48</v>
      </c>
      <c r="S3" s="36"/>
      <c r="T3" s="36"/>
      <c r="U3" s="1"/>
      <c r="V3" s="1"/>
      <c r="W3" s="1"/>
      <c r="AW3" s="192"/>
      <c r="AX3" s="192"/>
    </row>
    <row r="4" spans="1:50" ht="15.75" hidden="1" x14ac:dyDescent="0.25">
      <c r="A4" s="192"/>
      <c r="F4" s="37" t="s">
        <v>57</v>
      </c>
      <c r="G4" s="37" t="s">
        <v>73</v>
      </c>
      <c r="L4" s="1" t="s">
        <v>49</v>
      </c>
      <c r="U4" s="1"/>
      <c r="V4" s="1"/>
      <c r="W4" s="1"/>
      <c r="AW4" s="192"/>
      <c r="AX4" s="192"/>
    </row>
    <row r="5" spans="1:50" ht="15.75" x14ac:dyDescent="0.25">
      <c r="A5" s="192"/>
      <c r="B5" s="288" t="s">
        <v>54</v>
      </c>
      <c r="C5" s="289"/>
      <c r="D5" s="193" t="s">
        <v>73</v>
      </c>
      <c r="E5" s="212" t="s">
        <v>263</v>
      </c>
      <c r="G5" s="37" t="s">
        <v>74</v>
      </c>
      <c r="L5" s="1" t="s">
        <v>246</v>
      </c>
      <c r="U5" s="1"/>
      <c r="V5" s="1"/>
      <c r="W5" s="1"/>
      <c r="AW5" s="192"/>
      <c r="AX5" s="192"/>
    </row>
    <row r="6" spans="1:50" ht="15.75" x14ac:dyDescent="0.25">
      <c r="A6" s="192"/>
      <c r="B6" s="278" t="s">
        <v>55</v>
      </c>
      <c r="C6" s="279"/>
      <c r="D6" s="194" t="s">
        <v>57</v>
      </c>
      <c r="E6" s="213" t="s">
        <v>262</v>
      </c>
      <c r="G6" s="37" t="s">
        <v>75</v>
      </c>
      <c r="U6" s="1"/>
      <c r="V6" s="1"/>
      <c r="W6" s="1"/>
      <c r="AW6" s="192"/>
      <c r="AX6" s="192"/>
    </row>
    <row r="7" spans="1:50" ht="15.75" hidden="1" x14ac:dyDescent="0.25">
      <c r="A7" s="192"/>
      <c r="B7" s="278"/>
      <c r="C7" s="279"/>
      <c r="D7" s="195"/>
      <c r="E7" s="214"/>
      <c r="G7" s="37" t="s">
        <v>76</v>
      </c>
      <c r="U7" s="1"/>
      <c r="V7" s="1"/>
      <c r="W7" s="1"/>
      <c r="AW7" s="192"/>
      <c r="AX7" s="192"/>
    </row>
    <row r="8" spans="1:50" ht="15.75" x14ac:dyDescent="0.25">
      <c r="A8" s="192"/>
      <c r="B8" s="278" t="s">
        <v>248</v>
      </c>
      <c r="C8" s="279"/>
      <c r="D8" s="194" t="s">
        <v>240</v>
      </c>
      <c r="E8" s="213" t="s">
        <v>264</v>
      </c>
      <c r="G8" s="37" t="s">
        <v>77</v>
      </c>
      <c r="U8" s="1"/>
      <c r="V8" s="1"/>
      <c r="W8" s="1"/>
      <c r="AW8" s="192"/>
      <c r="AX8" s="192"/>
    </row>
    <row r="9" spans="1:50" ht="15.75" x14ac:dyDescent="0.25">
      <c r="A9" s="192"/>
      <c r="B9" s="278" t="s">
        <v>216</v>
      </c>
      <c r="C9" s="279"/>
      <c r="D9" s="195">
        <v>9</v>
      </c>
      <c r="E9" s="214" t="s">
        <v>249</v>
      </c>
      <c r="G9" s="37" t="s">
        <v>78</v>
      </c>
      <c r="U9" s="1"/>
      <c r="V9" s="1"/>
      <c r="W9" s="1"/>
      <c r="AW9" s="192"/>
      <c r="AX9" s="192"/>
    </row>
    <row r="10" spans="1:50" ht="15.75" x14ac:dyDescent="0.25">
      <c r="A10" s="192"/>
      <c r="B10" s="278" t="s">
        <v>217</v>
      </c>
      <c r="C10" s="279"/>
      <c r="D10" s="195">
        <v>9</v>
      </c>
      <c r="E10" s="213" t="s">
        <v>249</v>
      </c>
      <c r="G10" s="37" t="s">
        <v>79</v>
      </c>
      <c r="U10" s="1"/>
      <c r="V10" s="1"/>
      <c r="W10" s="1"/>
      <c r="AW10" s="192"/>
      <c r="AX10" s="192"/>
    </row>
    <row r="11" spans="1:50" ht="15.75" x14ac:dyDescent="0.25">
      <c r="A11" s="192"/>
      <c r="B11" s="282" t="s">
        <v>251</v>
      </c>
      <c r="C11" s="283"/>
      <c r="D11" s="194" t="s">
        <v>244</v>
      </c>
      <c r="E11" s="214" t="s">
        <v>265</v>
      </c>
      <c r="G11" s="37" t="s">
        <v>273</v>
      </c>
      <c r="U11" s="1"/>
      <c r="V11" s="1"/>
      <c r="W11" s="1"/>
      <c r="AW11" s="192"/>
      <c r="AX11" s="192"/>
    </row>
    <row r="12" spans="1:50" x14ac:dyDescent="0.25">
      <c r="A12" s="192"/>
      <c r="B12" s="284" t="str">
        <f>IF(D11="por Días","Días trabajados en el mes","")</f>
        <v>Días trabajados en el mes</v>
      </c>
      <c r="C12" s="285"/>
      <c r="D12" s="195">
        <v>30</v>
      </c>
      <c r="E12" s="213" t="str">
        <f>IF(D11="por Días","Introducir el número de días trabajado en el mes","")</f>
        <v>Introducir el número de días trabajado en el mes</v>
      </c>
      <c r="F12" s="39">
        <v>1</v>
      </c>
      <c r="U12" s="1"/>
      <c r="V12" s="1"/>
      <c r="W12" s="1"/>
      <c r="AW12" s="192"/>
      <c r="AX12" s="192"/>
    </row>
    <row r="13" spans="1:50" x14ac:dyDescent="0.25">
      <c r="A13" s="192"/>
      <c r="B13" s="282" t="s">
        <v>237</v>
      </c>
      <c r="C13" s="283"/>
      <c r="D13" s="194" t="s">
        <v>218</v>
      </c>
      <c r="E13" s="214" t="s">
        <v>260</v>
      </c>
      <c r="F13" s="39">
        <v>2</v>
      </c>
      <c r="G13" s="39">
        <v>1</v>
      </c>
      <c r="U13" s="1"/>
      <c r="V13" s="1"/>
      <c r="W13" s="1"/>
      <c r="AW13" s="192"/>
      <c r="AX13" s="192"/>
    </row>
    <row r="14" spans="1:50" x14ac:dyDescent="0.25">
      <c r="A14" s="192"/>
      <c r="B14" s="284" t="str">
        <f>IF(D13="Jornada Parcial","Número de hora semanal en jornada parcial","")</f>
        <v/>
      </c>
      <c r="C14" s="285"/>
      <c r="D14" s="195"/>
      <c r="E14" s="213" t="str">
        <f>IF(D13="Jornada Parcial","Introducir el número de horas semanales","")</f>
        <v/>
      </c>
      <c r="F14" s="39">
        <v>3</v>
      </c>
      <c r="G14" s="39">
        <v>1.5</v>
      </c>
      <c r="U14" s="1"/>
      <c r="V14" s="1"/>
      <c r="W14" s="1"/>
      <c r="AW14" s="192"/>
      <c r="AX14" s="192"/>
    </row>
    <row r="15" spans="1:50" x14ac:dyDescent="0.25">
      <c r="A15" s="192"/>
      <c r="B15" s="286" t="s">
        <v>56</v>
      </c>
      <c r="C15" s="287"/>
      <c r="D15" s="194" t="s">
        <v>246</v>
      </c>
      <c r="E15" s="214" t="s">
        <v>261</v>
      </c>
      <c r="F15" s="39">
        <v>4</v>
      </c>
      <c r="G15" s="39">
        <v>2</v>
      </c>
      <c r="U15" s="1"/>
      <c r="V15" s="1"/>
      <c r="W15" s="1"/>
      <c r="AW15" s="192"/>
      <c r="AX15" s="192"/>
    </row>
    <row r="16" spans="1:50" x14ac:dyDescent="0.25">
      <c r="A16" s="192"/>
      <c r="B16" s="280" t="str">
        <f>IF(AND(D15="Diciembre",D6="Interino"),"Días trabajados entre sep-oct-nov",IF(AND(D15="Junio",D6="Interino"),"Días trabajados entre dic-ene-feb-mar-abr-may",IF(AND(D15="Agosto (Interino)",D6="Interino"),"Días trabajados entre jun-jul-ago","")))</f>
        <v>Días trabajados entre jun-jul-ago</v>
      </c>
      <c r="C16" s="281"/>
      <c r="D16" s="195">
        <v>90</v>
      </c>
      <c r="E16" s="213" t="str">
        <f>IF(AND(D15="Diciembre",D6="Interino"),"Interinos: Introducir los días trabajados",IF(AND(D15="Junio",D6="Interino"),"Interinos: Introducir los días trabajados",IF(AND(D15="Agosto (Interino)",D6="Interino"),"","")))</f>
        <v/>
      </c>
      <c r="F16" s="39">
        <v>5</v>
      </c>
      <c r="G16" s="39">
        <v>2.5</v>
      </c>
      <c r="U16" s="1"/>
      <c r="V16" s="1"/>
      <c r="W16" s="1"/>
      <c r="AW16" s="192"/>
      <c r="AX16" s="192"/>
    </row>
    <row r="17" spans="1:50" x14ac:dyDescent="0.25">
      <c r="A17" s="192"/>
      <c r="B17" s="280" t="str">
        <f>IF(AND(D15="Diciembre",D6="Interino"),"Días trabajados entre sep-oct-nov-dic",IF(AND(D15="Junio",D6="Interino"),"Días trabajados entre ene-feb-mar-abr-may-jun",IF(AND(D15="Agosto (Interino)",D6="Interino"),"Días trabajados entre jul-ago","")))</f>
        <v>Días trabajados entre jul-ago</v>
      </c>
      <c r="C17" s="281"/>
      <c r="D17" s="195">
        <v>60</v>
      </c>
      <c r="E17" s="214" t="str">
        <f>IF(AND(D15="Diciembre",D6="Interino"),"Interinos: Introducir los días trabajados",IF(AND(D15="Junio",D6="Interino"),"Interinos: Introducir los días trabajados",IF(AND(D15="Agosto (Interino)",D6="Interino"),"","")))</f>
        <v/>
      </c>
      <c r="F17" s="39">
        <v>6</v>
      </c>
      <c r="G17" s="39">
        <v>3</v>
      </c>
      <c r="U17" s="1"/>
      <c r="V17" s="1"/>
      <c r="W17" s="1"/>
      <c r="AW17" s="192"/>
      <c r="AX17" s="192"/>
    </row>
    <row r="18" spans="1:50" x14ac:dyDescent="0.25">
      <c r="A18" s="192"/>
      <c r="B18" s="282" t="str">
        <f>IF(D6="Interino","Terminación de la sustitución. Vacaciones no disfrutadas","")</f>
        <v>Terminación de la sustitución. Vacaciones no disfrutadas</v>
      </c>
      <c r="C18" s="283"/>
      <c r="D18" s="194"/>
      <c r="E18" s="213"/>
      <c r="F18" s="39">
        <v>7</v>
      </c>
      <c r="G18" s="39">
        <v>3.5</v>
      </c>
      <c r="U18" s="1"/>
      <c r="V18" s="1"/>
      <c r="W18" s="1"/>
      <c r="AW18" s="192"/>
      <c r="AX18" s="192"/>
    </row>
    <row r="19" spans="1:50" x14ac:dyDescent="0.25">
      <c r="A19" s="192"/>
      <c r="B19" s="284" t="str">
        <f>IF(D18="Sí","Fecha inicio sustitución","")</f>
        <v/>
      </c>
      <c r="C19" s="285"/>
      <c r="D19" s="196"/>
      <c r="E19" s="214" t="str">
        <f>IF(D18="Sí","Introducir la fecha inicio sustitución","")</f>
        <v/>
      </c>
      <c r="F19" s="39">
        <v>8</v>
      </c>
      <c r="G19" s="39">
        <v>4</v>
      </c>
      <c r="U19" s="1"/>
      <c r="V19" s="1"/>
      <c r="W19" s="1"/>
      <c r="AW19" s="192"/>
      <c r="AX19" s="192"/>
    </row>
    <row r="20" spans="1:50" ht="15.75" thickBot="1" x14ac:dyDescent="0.3">
      <c r="A20" s="192"/>
      <c r="B20" s="295" t="str">
        <f>IF(D18="Sí","Fecha finalización sustitución","")</f>
        <v/>
      </c>
      <c r="C20" s="296"/>
      <c r="D20" s="227"/>
      <c r="E20" s="228" t="str">
        <f>IF(D18="Sí","Introducir la fecha finalización de la sustitución","")</f>
        <v/>
      </c>
      <c r="F20" s="39">
        <v>9</v>
      </c>
      <c r="G20" s="39">
        <v>4.5</v>
      </c>
      <c r="U20" s="1"/>
      <c r="V20" s="1"/>
      <c r="W20" s="1"/>
      <c r="Y20" s="39">
        <f>+SexeniosPerdidos!N15</f>
        <v>2234.0099999999998</v>
      </c>
      <c r="AW20" s="192"/>
      <c r="AX20" s="192"/>
    </row>
    <row r="21" spans="1:50" x14ac:dyDescent="0.25">
      <c r="A21" s="192"/>
      <c r="B21" s="267" t="s">
        <v>258</v>
      </c>
      <c r="C21" s="268"/>
      <c r="D21" s="269"/>
      <c r="E21" s="229" t="s">
        <v>259</v>
      </c>
      <c r="F21" s="39">
        <v>10</v>
      </c>
      <c r="G21" s="39">
        <v>5</v>
      </c>
      <c r="U21" s="1"/>
      <c r="V21" s="1"/>
      <c r="W21" s="1"/>
      <c r="AW21" s="192"/>
      <c r="AX21" s="192"/>
    </row>
    <row r="22" spans="1:50" x14ac:dyDescent="0.25">
      <c r="A22" s="192"/>
      <c r="B22" s="299" t="s">
        <v>254</v>
      </c>
      <c r="C22" s="300"/>
      <c r="D22" s="300"/>
      <c r="E22" s="213" t="s">
        <v>271</v>
      </c>
      <c r="F22" s="39">
        <v>11</v>
      </c>
      <c r="G22" s="39">
        <v>5.5</v>
      </c>
      <c r="U22" s="1"/>
      <c r="V22" s="1"/>
      <c r="W22" s="1"/>
      <c r="AW22" s="192"/>
      <c r="AX22" s="192"/>
    </row>
    <row r="23" spans="1:50" x14ac:dyDescent="0.25">
      <c r="A23" s="192"/>
      <c r="B23" s="299" t="s">
        <v>255</v>
      </c>
      <c r="C23" s="300"/>
      <c r="D23" s="300"/>
      <c r="E23" s="226" t="s">
        <v>271</v>
      </c>
      <c r="F23" s="39">
        <v>12</v>
      </c>
      <c r="G23" s="39">
        <v>6</v>
      </c>
      <c r="U23" s="1"/>
      <c r="V23" s="1"/>
      <c r="W23" s="1"/>
      <c r="AW23" s="192"/>
      <c r="AX23" s="192"/>
    </row>
    <row r="24" spans="1:50" ht="15.75" thickBot="1" x14ac:dyDescent="0.3">
      <c r="A24" s="192"/>
      <c r="B24" s="301" t="s">
        <v>256</v>
      </c>
      <c r="C24" s="302"/>
      <c r="D24" s="302"/>
      <c r="E24" s="230" t="s">
        <v>271</v>
      </c>
      <c r="F24" s="39">
        <v>13</v>
      </c>
      <c r="G24" s="39">
        <v>6.5</v>
      </c>
      <c r="U24" s="1"/>
      <c r="V24" s="1"/>
      <c r="W24" s="1"/>
      <c r="AW24" s="192"/>
      <c r="AX24" s="192"/>
    </row>
    <row r="25" spans="1:50" ht="7.5" customHeight="1" thickBot="1" x14ac:dyDescent="0.3">
      <c r="A25" s="192"/>
      <c r="B25" s="192"/>
      <c r="C25" s="192"/>
      <c r="D25" s="192"/>
      <c r="E25" s="192"/>
      <c r="F25" s="39">
        <v>14</v>
      </c>
      <c r="G25" s="39">
        <v>7</v>
      </c>
      <c r="U25" s="1"/>
      <c r="V25" s="1"/>
      <c r="W25" s="1"/>
      <c r="AW25" s="192"/>
      <c r="AX25" s="192"/>
    </row>
    <row r="26" spans="1:50" ht="18.75" x14ac:dyDescent="0.3">
      <c r="A26" s="192"/>
      <c r="B26" s="207"/>
      <c r="C26" s="208"/>
      <c r="D26" s="201" t="s">
        <v>247</v>
      </c>
      <c r="E26" s="192"/>
      <c r="F26" s="39">
        <v>15</v>
      </c>
      <c r="G26" s="39">
        <v>7.5</v>
      </c>
      <c r="U26" s="1"/>
      <c r="V26" s="1"/>
      <c r="W26" s="1"/>
      <c r="AW26" s="192"/>
      <c r="AX26" s="192"/>
    </row>
    <row r="27" spans="1:50" x14ac:dyDescent="0.25">
      <c r="A27" s="192"/>
      <c r="B27" s="265" t="str">
        <f>CONCATENATE("Sueldo Base."," Grupo: ",+Retribuciones!P24)</f>
        <v>Sueldo Base. Grupo: A1</v>
      </c>
      <c r="C27" s="266"/>
      <c r="D27" s="197">
        <f>IF(AND(D$13=K$2,D$11=J$2),Nóminab!D22,IF(AND(D$13=K$3,D$11=J$2),Nóminab!F22,IF(AND(D$13=K$2,D$11=J$3),Nóminab!E22,IF(AND(D$13=K$3,D$11=J$3),Nóminab!G22,0))))</f>
        <v>1214.3900000000001</v>
      </c>
      <c r="E27" s="192"/>
      <c r="F27" s="39">
        <v>16</v>
      </c>
      <c r="G27" s="39">
        <v>8</v>
      </c>
      <c r="U27" s="1"/>
      <c r="V27" s="1"/>
      <c r="W27" s="1"/>
      <c r="AW27" s="192"/>
      <c r="AX27" s="192"/>
    </row>
    <row r="28" spans="1:50" x14ac:dyDescent="0.25">
      <c r="A28" s="192"/>
      <c r="B28" s="297" t="str">
        <f>CONCATENATE("Trienios. Grupo: ",+Retribuciones!P24,". Nº trienios: ",INT(+D9/3))</f>
        <v>Trienios. Grupo: A1. Nº trienios: 3</v>
      </c>
      <c r="C28" s="298"/>
      <c r="D28" s="197">
        <f>IF(AND(D$13=K$2,D$11=J$2),Nóminab!D23,IF(AND(D$13=K$3,D$11=J$2),Nóminab!F23,IF(AND(D$13=K$2,D$11=J$3),Nóminab!E23,IF(AND(D$13=K$3,D$11=J$3),Nóminab!G23,0))))</f>
        <v>140.22</v>
      </c>
      <c r="E28" s="192"/>
      <c r="F28" s="39">
        <v>17</v>
      </c>
      <c r="G28" s="39">
        <v>8.5</v>
      </c>
      <c r="U28" s="1"/>
      <c r="V28" s="1"/>
      <c r="W28" s="1"/>
      <c r="AW28" s="192"/>
      <c r="AX28" s="192"/>
    </row>
    <row r="29" spans="1:50" x14ac:dyDescent="0.25">
      <c r="A29" s="192"/>
      <c r="B29" s="265" t="str">
        <f>IF(D8="No capitalina","Residencia en isla No Capitalina","Residencia en isla Capitalina")</f>
        <v>Residencia en isla Capitalina</v>
      </c>
      <c r="C29" s="266"/>
      <c r="D29" s="197">
        <f>IF(AND(D$13=K$2,D$11=J$2),Nóminab!D24,IF(AND(D$13=K$3,D$11=J$2),Nóminab!F24,IF(AND(D$13=K$2,D$11=J$3),Nóminab!E24,IF(AND(D$13=K$3,D$11=J$3),Nóminab!G24,0))))</f>
        <v>142.66999999999999</v>
      </c>
      <c r="E29" s="192"/>
      <c r="F29" s="39">
        <v>18</v>
      </c>
      <c r="G29" s="39">
        <v>9</v>
      </c>
      <c r="U29" s="1"/>
      <c r="V29" s="1"/>
      <c r="W29" s="1"/>
      <c r="AW29" s="192"/>
      <c r="AX29" s="192"/>
    </row>
    <row r="30" spans="1:50" x14ac:dyDescent="0.25">
      <c r="A30" s="192"/>
      <c r="B30" s="265" t="str">
        <f>IF(D8="No capitalina","Trienios en isla No Capitalina","")</f>
        <v/>
      </c>
      <c r="C30" s="266"/>
      <c r="D30" s="197">
        <f>IF(AND(D$13=K$2,D$11=J$2),Nóminab!D25,IF(AND(D$13=K$3,D$11=J$2),Nóminab!F25,IF(AND(D$13=K$2,D$11=J$3),Nóminab!E25,IF(AND(D$13=K$3,D$11=J$3),Nóminab!G25,0))))</f>
        <v>0</v>
      </c>
      <c r="E30" s="192"/>
      <c r="F30" s="39">
        <v>19</v>
      </c>
      <c r="G30" s="39">
        <v>9.5</v>
      </c>
      <c r="U30" s="1"/>
      <c r="V30" s="1"/>
      <c r="W30" s="1"/>
      <c r="AW30" s="192"/>
      <c r="AX30" s="192"/>
    </row>
    <row r="31" spans="1:50" x14ac:dyDescent="0.25">
      <c r="A31" s="192"/>
      <c r="B31" s="265" t="str">
        <f>CONCATENATE("Complemento Específico. Puntos: ",ROUND(+D31/22.12,2))</f>
        <v>Complemento Específico. Puntos: 30,42</v>
      </c>
      <c r="C31" s="266"/>
      <c r="D31" s="197">
        <f>IF(AND(D$13=K$2,D$11=J$2),Nóminab!D26,IF(AND(D$13=K$3,D$11=J$2),Nóminab!F26,IF(AND(D$13=K$2,D$11=J$3),Nóminab!E26,IF(AND(D$13=K$3,D$11=J$3),Nóminab!G26,0))))</f>
        <v>672.9</v>
      </c>
      <c r="E31" s="192"/>
      <c r="F31" s="39">
        <v>20</v>
      </c>
      <c r="G31" s="39">
        <v>10</v>
      </c>
      <c r="U31" s="1"/>
      <c r="V31" s="1"/>
      <c r="W31" s="1"/>
      <c r="AW31" s="192"/>
      <c r="AX31" s="192"/>
    </row>
    <row r="32" spans="1:50" ht="15.75" customHeight="1" x14ac:dyDescent="0.25">
      <c r="A32" s="192"/>
      <c r="B32" s="265" t="str">
        <f>CONCATENATE("Complemento Destino."," Nivel: ",+Retribuciones!P25)</f>
        <v>Complemento Destino. Nivel: 24</v>
      </c>
      <c r="C32" s="266"/>
      <c r="D32" s="204">
        <f>IF(AND(D$13=K$2,D$11=J$2),Nóminab!D27,IF(AND(D$13=K$3,D$11=J$2),Nóminab!F27,IF(AND(D$13=K$2,D$11=J$3),Nóminab!E27,IF(AND(D$13=K$3,D$11=J$3),Nóminab!G27,0))))</f>
        <v>647.12</v>
      </c>
      <c r="E32" s="247" t="str">
        <f>IF(D10&gt;5,"Por haber votado NO a los sexenios en 2008","")</f>
        <v>Por haber votado NO a los sexenios en 2008</v>
      </c>
      <c r="F32" s="39">
        <v>21</v>
      </c>
      <c r="G32" s="39">
        <v>10.5</v>
      </c>
      <c r="U32" s="1"/>
      <c r="V32" s="1"/>
      <c r="W32" s="1"/>
      <c r="AW32" s="192"/>
      <c r="AX32" s="192"/>
    </row>
    <row r="33" spans="1:50" ht="15" hidden="1" customHeight="1" x14ac:dyDescent="0.25">
      <c r="A33" s="192"/>
      <c r="B33" s="265" t="str">
        <f>IF(AND($D$7="Sí",D5=G10),"Complemento nivelador maestros 1º y 2º ESO"," ")</f>
        <v xml:space="preserve"> </v>
      </c>
      <c r="C33" s="266"/>
      <c r="D33" s="204">
        <f>IF(AND(D$13=K$2,D$11=J$2),Nóminab!D28,IF(AND(D$13=K$3,D$11=J$2),Nóminab!F28,IF(AND(D$13=K$2,D$11=J$3),Nóminab!E28,IF(AND(D$13=K$3,D$11=J$3),Nóminab!G28,0))))</f>
        <v>0</v>
      </c>
      <c r="E33" s="249"/>
      <c r="F33" s="39">
        <v>22</v>
      </c>
      <c r="G33" s="39">
        <v>11</v>
      </c>
      <c r="I33" s="40"/>
      <c r="U33" s="1"/>
      <c r="V33" s="1"/>
      <c r="W33" s="1"/>
      <c r="AW33" s="192"/>
      <c r="AX33" s="192"/>
    </row>
    <row r="34" spans="1:50" x14ac:dyDescent="0.25">
      <c r="A34" s="192"/>
      <c r="B34" s="265" t="str">
        <f>IF(AND(D10&gt;5,D10&lt;12),"Complemento Formación. 1 Sexenio",IF(AND(D10&gt;11,D10&lt;18),"Complemento Formación. 2 Sexenios",IF(AND(D10&gt;17,D10&lt;24),"Complemento Formación. 3 Sexenios",IF(AND(D10&gt;23,D10&lt;30),"Complemento Formación. 4 Sexenios",IF(D10&gt;29,"Complemento Formación. 5 Sexenios","")))))</f>
        <v>Complemento Formación. 1 Sexenio</v>
      </c>
      <c r="C34" s="266"/>
      <c r="D34" s="204">
        <f>IF(AND(D$13=K$2,D$11=J$2),Nóminab!D29,IF(AND(D$13=K$3,D$11=J$2),Nóminab!F29,IF(AND(D$13=K$2,D$11=J$3),Nóminab!E29,IF(AND(D$13=K$3,D$11=J$3),Nóminab!G29,0))))</f>
        <v>55</v>
      </c>
      <c r="E34" s="250" t="str">
        <f>IF(D10&gt;5,"Importe bruto total que has perdido: ","")</f>
        <v xml:space="preserve">Importe bruto total que has perdido: </v>
      </c>
      <c r="F34" s="39">
        <v>23</v>
      </c>
      <c r="G34" s="39">
        <v>11.5</v>
      </c>
      <c r="I34" s="40"/>
      <c r="U34" s="1"/>
      <c r="V34" s="1"/>
      <c r="W34" s="1"/>
      <c r="AW34" s="192"/>
      <c r="AX34" s="192"/>
    </row>
    <row r="35" spans="1:50" x14ac:dyDescent="0.25">
      <c r="A35" s="192"/>
      <c r="B35" s="210" t="str">
        <f>IF(U68&gt;0,"Complemento especial responsabilidad","")</f>
        <v/>
      </c>
      <c r="C35" s="211"/>
      <c r="D35" s="246">
        <f>+U68</f>
        <v>0</v>
      </c>
      <c r="E35" s="248">
        <f>IF(D10&gt;5,ROUNDUP(+SexeniosPerdidos!N15,2),"")</f>
        <v>2234.0100000000002</v>
      </c>
      <c r="F35" s="39">
        <v>24</v>
      </c>
      <c r="G35" s="39">
        <v>12</v>
      </c>
      <c r="U35" s="1"/>
      <c r="V35" s="1"/>
      <c r="W35" s="1"/>
      <c r="AW35" s="192"/>
      <c r="AX35" s="192"/>
    </row>
    <row r="36" spans="1:50" x14ac:dyDescent="0.25">
      <c r="A36" s="192"/>
      <c r="B36" s="265" t="str">
        <f>IF($D$15="junio","Paga extra junio. Sueldo Base",IF(AND($D$15="diciembre",D6= "Interino"),"Paga extra diciembre (sep a dic). Sueldo Base",IF(AND($D$15="Agosto (interino)",D6="Interino"),"Liquidación Paga extra diciembre. Sueldo Base",IF(AND($D$15="diciembre",D6= "Carrera (anterior a 1 enero 2011)"),"Paga extra diciembre, Sueldo Base",IF(AND($D$15="diciembre",D6= "Carrera (posterior a 1 enero 2011)"),"Paga extra diciembre, Sueldo Base"," ")))))</f>
        <v>Liquidación Paga extra diciembre. Sueldo Base</v>
      </c>
      <c r="C36" s="266"/>
      <c r="D36" s="204">
        <f>IF(AND(D$13=K$2,D$11=J$2),Nóminab!D35,IF(AND(D$13=K$3,D$11=J$2),Nóminab!F35,IF(AND(D$13=K$2,D$11=J$3),Nóminab!E35,IF(AND(D$13=K$3,D$11=J$3),Nóminab!G35,0))))</f>
        <v>374.69</v>
      </c>
      <c r="E36" s="253">
        <f>IF(D10&gt;5,+SexeniosPerdidos!N15/Nóminab!D59,"")</f>
        <v>5.7922064318612444E-2</v>
      </c>
      <c r="F36" s="39">
        <v>25</v>
      </c>
      <c r="G36" s="39">
        <v>12.5</v>
      </c>
      <c r="U36" s="1"/>
      <c r="V36" s="1"/>
      <c r="W36" s="1"/>
      <c r="AW36" s="192"/>
      <c r="AX36" s="192"/>
    </row>
    <row r="37" spans="1:50" x14ac:dyDescent="0.25">
      <c r="A37" s="192"/>
      <c r="B37" s="265" t="str">
        <f>IF($D$15="junio","Paga extra junio. Trienios",IF(AND($D$15="diciembre",D6="Interino"),"Paga extra diciembre (Sep a dic). Trienios",IF(AND($D$15="Agosto (interino)",D6="Interino"),"Liquidación Paga extra diciembre. Trienios",IF(AND($D$15="diciembre",D6="Carrera (anterior a 1 enero 2011)"),"Paga extra diciembre, Trienios",IF(AND($D$15="diciembre",D6="Carrera (posterior a 1 enero 2011)"),"Paga extra diciembre, Trienios"," ")))))</f>
        <v>Liquidación Paga extra diciembre. Trienios</v>
      </c>
      <c r="C37" s="266"/>
      <c r="D37" s="204">
        <f>IF(AND(D$13=K$2,D$11=J$2),Nóminab!D36,IF(AND(D$13=K$3,D$11=J$2),Nóminab!F36,IF(AND(D$13=K$2,D$11=J$3),Nóminab!E36,IF(AND(D$13=K$3,D$11=J$3),Nóminab!G36,0))))</f>
        <v>43.275000000000006</v>
      </c>
      <c r="E37" s="248" t="str">
        <f>IF(D10&gt;5,"Del sueldo bruto que cobras en 2021","")</f>
        <v>Del sueldo bruto que cobras en 2021</v>
      </c>
      <c r="F37" s="39">
        <v>26</v>
      </c>
      <c r="G37" s="39">
        <v>13</v>
      </c>
      <c r="U37" s="1"/>
      <c r="V37" s="1"/>
      <c r="W37" s="1"/>
      <c r="AW37" s="192"/>
      <c r="AX37" s="192"/>
    </row>
    <row r="38" spans="1:50" x14ac:dyDescent="0.25">
      <c r="A38" s="192"/>
      <c r="B38" s="265" t="str">
        <f>IF($D$15="junio","Paga extra junio. Complemento Destino",IF(AND($D$15="diciembre",D6="Interino"),"Paga extra diciembre (sep a dic). Complemento Destino",IF(AND($D$15="Agosto (interino)",D6="Interino"),"Liquidación Paga extra diciembre. Complemento Destino",IF(AND($D$15="diciembre",D6="Carrera (anterior a 1 enero 2011)"),"Paga extra diciembre. Complemento Destino",IF(AND($D$15="diciembre",D6="Carrera (posterior a 1 enero 2011)"),"Paga extra diciembre. Complemento Destino"," ")))))</f>
        <v>Liquidación Paga extra diciembre. Complemento Destino</v>
      </c>
      <c r="C38" s="266"/>
      <c r="D38" s="197">
        <f>IF(AND(D$13=K$2,D$11=J$2),Nóminab!D37,IF(AND(D$13=K$3,D$11=J$2),Nóminab!F37,IF(AND(D$13=K$2,D$11=J$3),Nóminab!E37,IF(AND(D$13=K$3,D$11=J$3),Nóminab!G37,0))))</f>
        <v>323.56</v>
      </c>
      <c r="E38" s="192"/>
      <c r="F38" s="39">
        <v>27</v>
      </c>
      <c r="G38" s="39">
        <v>13.5</v>
      </c>
      <c r="U38" s="1"/>
      <c r="V38" s="1"/>
      <c r="W38" s="1"/>
      <c r="AW38" s="192"/>
      <c r="AX38" s="192"/>
    </row>
    <row r="39" spans="1:50" x14ac:dyDescent="0.25">
      <c r="A39" s="192"/>
      <c r="B39" s="265" t="str">
        <f>IF($D$15="junio","Adicional junio. Complemento específico",IF(AND($D$15="diciembre",D6="Interino"),"Adicional diciembre (sep a dic). Complemento específico",IF(AND($D$15="Agosto (interino)",D6="Interino"),"Liquidación Adicional Diciembre. Complemento específico",IF(AND($D$15="diciembre",D6="Carrera (anterior a 1 enero 2011)"),"Adicional diciembre. Complemento específico",IF(AND($D$15="diciembre",D6="Carrera (posterior a 1 enero 2011)"),"Adicional diciembre. Complemento específico"," ")))))</f>
        <v>Liquidación Adicional Diciembre. Complemento específico</v>
      </c>
      <c r="C39" s="266"/>
      <c r="D39" s="197">
        <f>IF(AND(D$13=K$2,D$11=J$2),Nóminab!D38,IF(AND(D$13=K$3,D$11=J$2),Nóminab!F38,IF(AND(D$13=K$2,D$11=J$3),Nóminab!E38,IF(AND(D$13=K$3,D$11=J$3),Nóminab!G38,0))))</f>
        <v>174.95399999999998</v>
      </c>
      <c r="E39" s="192"/>
      <c r="F39" s="39">
        <v>28</v>
      </c>
      <c r="G39" s="39">
        <v>14</v>
      </c>
      <c r="U39" s="1"/>
      <c r="V39" s="1"/>
      <c r="W39" s="1"/>
      <c r="AW39" s="192"/>
      <c r="AX39" s="192"/>
    </row>
    <row r="40" spans="1:50" x14ac:dyDescent="0.25">
      <c r="A40" s="192"/>
      <c r="B40" s="265" t="str">
        <f>IF($D$15="junio","Paga extra junio. Sexenios",IF(AND($D$15="diciembre",D6="Interino"),"Paga extra diciembre (sep a dic). Sexenios",IF(AND($D$15="Agosto (interino)",D6="Interino"),"Liquidación Paga extra Diciembre. Sexenios",IF(AND($D$15="diciembre",D6="Carrera (anterior a 1 enero 2011)"),"Paga extra diciembre. Sexenios",IF(AND($D$15="diciembre",D6="Carrera (posterior a 1 enero 2011)"),"Paga extra Diciembre. Sexenios"," ")))))</f>
        <v>Liquidación Paga extra Diciembre. Sexenios</v>
      </c>
      <c r="C40" s="266"/>
      <c r="D40" s="197">
        <f>IF(AND(D$13=K$2,D$11=J$2),Nóminab!D39,IF(AND(D$13=K$3,D$11=J$2),Nóminab!F39,IF(AND(D$13=K$2,D$11=J$3),Nóminab!E39,IF(AND(D$13=K$3,D$11=J$3),Nóminab!G39,0))))</f>
        <v>14.299999999999999</v>
      </c>
      <c r="E40" s="192"/>
      <c r="F40" s="39">
        <v>29</v>
      </c>
      <c r="G40" s="39">
        <v>14.5</v>
      </c>
      <c r="U40" s="1"/>
      <c r="V40" s="1"/>
      <c r="W40" s="1"/>
      <c r="AW40" s="192"/>
      <c r="AX40" s="192"/>
    </row>
    <row r="41" spans="1:50" x14ac:dyDescent="0.25">
      <c r="A41" s="192"/>
      <c r="B41" s="265" t="str">
        <f>IF(U111&gt;0,B22,"")</f>
        <v/>
      </c>
      <c r="C41" s="266"/>
      <c r="D41" s="197">
        <f>+U111</f>
        <v>0</v>
      </c>
      <c r="E41" s="192"/>
      <c r="F41" s="39">
        <v>30</v>
      </c>
      <c r="G41" s="39">
        <v>15</v>
      </c>
      <c r="Q41" s="40"/>
      <c r="U41" s="1"/>
      <c r="V41" s="1"/>
      <c r="W41" s="1"/>
      <c r="AW41" s="192"/>
      <c r="AX41" s="192"/>
    </row>
    <row r="42" spans="1:50" x14ac:dyDescent="0.25">
      <c r="A42" s="192"/>
      <c r="B42" s="265" t="str">
        <f>IF(U125&gt;0,B23,"")</f>
        <v/>
      </c>
      <c r="C42" s="266"/>
      <c r="D42" s="197">
        <f>+U125</f>
        <v>0</v>
      </c>
      <c r="E42" s="192"/>
      <c r="F42" s="39">
        <v>31</v>
      </c>
      <c r="G42" s="39">
        <v>15.5</v>
      </c>
      <c r="Q42" s="215"/>
      <c r="U42" s="1"/>
      <c r="V42" s="1"/>
      <c r="W42" s="1"/>
      <c r="AW42" s="192"/>
      <c r="AX42" s="192"/>
    </row>
    <row r="43" spans="1:50" x14ac:dyDescent="0.25">
      <c r="A43" s="192"/>
      <c r="B43" s="290" t="str">
        <f>IF(U137&gt;0,B24,"")</f>
        <v/>
      </c>
      <c r="C43" s="291"/>
      <c r="D43" s="197">
        <f>+U137</f>
        <v>0</v>
      </c>
      <c r="E43" s="192"/>
      <c r="F43" s="39">
        <v>32</v>
      </c>
      <c r="G43" s="39">
        <v>16</v>
      </c>
      <c r="U43" s="1"/>
      <c r="V43" s="1"/>
      <c r="W43" s="1"/>
      <c r="AW43" s="192"/>
      <c r="AX43" s="192"/>
    </row>
    <row r="44" spans="1:50" x14ac:dyDescent="0.25">
      <c r="A44" s="192"/>
      <c r="B44" s="265" t="str">
        <f>IF(D18="sí",(CONCATENATE("Vacaciones no disfrutadas: ",INT((+D20-D19)/12)," días.")),"")</f>
        <v/>
      </c>
      <c r="C44" s="266"/>
      <c r="D44" s="197">
        <f>IF(D18="sí",IF(D13="Jornada completa",Nomina1dia!E45*(INT((+D20-D19)/12)),IF(D13="Jornada parcial",Nomina1dia!G45*(INT((+D20-D19)/12)),0)),0)</f>
        <v>0</v>
      </c>
      <c r="E44" s="192"/>
      <c r="F44" s="39">
        <v>33</v>
      </c>
      <c r="G44" s="39">
        <v>16.5</v>
      </c>
      <c r="U44" s="1"/>
      <c r="V44" s="1"/>
      <c r="W44" s="1"/>
      <c r="AW44" s="192"/>
      <c r="AX44" s="192"/>
    </row>
    <row r="45" spans="1:50" x14ac:dyDescent="0.25">
      <c r="A45" s="192"/>
      <c r="B45" s="265" t="s">
        <v>257</v>
      </c>
      <c r="C45" s="266"/>
      <c r="D45" s="218"/>
      <c r="E45" s="192"/>
      <c r="F45" s="39">
        <v>34</v>
      </c>
      <c r="G45" s="39">
        <v>17</v>
      </c>
      <c r="U45" s="1"/>
      <c r="V45" s="1"/>
      <c r="W45" s="1"/>
      <c r="AW45" s="192"/>
      <c r="AX45" s="192"/>
    </row>
    <row r="46" spans="1:50" ht="16.5" customHeight="1" thickBot="1" x14ac:dyDescent="0.35">
      <c r="A46" s="192"/>
      <c r="B46" s="276" t="s">
        <v>45</v>
      </c>
      <c r="C46" s="277"/>
      <c r="D46" s="198">
        <f>SUM(D27:D45)</f>
        <v>3803.0790000000006</v>
      </c>
      <c r="E46" s="192"/>
      <c r="F46" s="39">
        <v>35</v>
      </c>
      <c r="G46" s="39">
        <v>17.5</v>
      </c>
      <c r="U46" s="1"/>
      <c r="V46" s="1"/>
      <c r="W46" s="1"/>
      <c r="AW46" s="192"/>
      <c r="AX46" s="192"/>
    </row>
    <row r="47" spans="1:50" ht="5.25" customHeight="1" thickBot="1" x14ac:dyDescent="0.3">
      <c r="A47" s="192"/>
      <c r="B47" s="192"/>
      <c r="C47" s="192"/>
      <c r="D47" s="192"/>
      <c r="E47" s="192"/>
      <c r="F47" s="39">
        <v>36</v>
      </c>
      <c r="G47" s="39">
        <v>18</v>
      </c>
      <c r="U47" s="1"/>
      <c r="V47" s="1"/>
      <c r="W47" s="1"/>
      <c r="AW47" s="192"/>
      <c r="AX47" s="192"/>
    </row>
    <row r="48" spans="1:50" ht="18.75" x14ac:dyDescent="0.3">
      <c r="A48" s="192"/>
      <c r="B48" s="199"/>
      <c r="C48" s="200"/>
      <c r="D48" s="201" t="s">
        <v>252</v>
      </c>
      <c r="E48" s="192"/>
      <c r="F48" s="39">
        <v>40</v>
      </c>
      <c r="G48" s="39">
        <v>18.5</v>
      </c>
      <c r="U48" s="1"/>
      <c r="V48" s="1"/>
      <c r="W48" s="1"/>
      <c r="AW48" s="192"/>
      <c r="AX48" s="192"/>
    </row>
    <row r="49" spans="1:50" x14ac:dyDescent="0.25">
      <c r="A49" s="192"/>
      <c r="B49" s="270" t="s">
        <v>210</v>
      </c>
      <c r="C49" s="271"/>
      <c r="D49" s="197">
        <f>IF(AND(D$13=K$2,D$11=J$2),Nóminab!D48,IF(AND(D$13=K$3,D$11=J$2),Nóminab!F48,IF(AND(D$13=K$2,D$11=J$3),Nóminab!E48,IF(AND(D$13=K$3,D$11=J$3),Nóminab!G48,0))))</f>
        <v>-6</v>
      </c>
      <c r="E49" s="192"/>
      <c r="F49" s="39">
        <v>41</v>
      </c>
      <c r="G49" s="39">
        <v>20.5</v>
      </c>
      <c r="U49" s="1"/>
      <c r="V49" s="1"/>
      <c r="W49" s="1"/>
      <c r="AW49" s="192"/>
      <c r="AX49" s="192"/>
    </row>
    <row r="50" spans="1:50" x14ac:dyDescent="0.25">
      <c r="A50" s="192"/>
      <c r="B50" s="270" t="str">
        <f>IF(D6="Carrera (anterior a 1 enero 2011)","Derechos Pasivos","Contingencias Comunes: 4,7% (trabajador) y 23,6% (empresa)")</f>
        <v>Contingencias Comunes: 4,7% (trabajador) y 23,6% (empresa)</v>
      </c>
      <c r="C50" s="271"/>
      <c r="D50" s="197">
        <f>IF(AND(D$13=K$2,D$11=J$2),Nóminab!D49,IF(AND(D$13=K$3,D$11=J$2),Nóminab!F49,IF(AND(D$13=K$2,D$11=J$3),Nóminab!E49,IF(AND(D$13=K$3,D$11=J$3),Nóminab!G49,0))))</f>
        <v>-151.06285666666665</v>
      </c>
      <c r="E50" s="192"/>
      <c r="F50" s="39">
        <v>42</v>
      </c>
      <c r="G50" s="39">
        <v>21</v>
      </c>
      <c r="U50" s="1"/>
      <c r="V50" s="1"/>
      <c r="W50" s="1"/>
      <c r="AW50" s="192"/>
      <c r="AX50" s="192"/>
    </row>
    <row r="51" spans="1:50" x14ac:dyDescent="0.25">
      <c r="A51" s="192"/>
      <c r="B51" s="270" t="str">
        <f>IF(OR(D6="Carrera (anterior a 1 enero 2011)",D6="Carrera (posterior a 1 enero 2011)"),"MUFACE","Cuota Desempleo: 1,55% (trabajador) y 5,5% (empresa)")</f>
        <v>Cuota Desempleo: 1,55% (trabajador) y 5,5% (empresa)</v>
      </c>
      <c r="C51" s="271"/>
      <c r="D51" s="197">
        <f>IF(AND(D$13=K$2,D$11=J$2),Nóminab!D50,IF(AND(D$13=K$3,D$11=J$2),Nóminab!F50,IF(AND(D$13=K$2,D$11=J$3),Nóminab!E50,IF(AND(D$13=K$3,D$11=J$3),Nóminab!G50,0))))</f>
        <v>-49.818601666666659</v>
      </c>
      <c r="E51" s="192"/>
      <c r="F51" s="39">
        <v>43</v>
      </c>
      <c r="G51" s="39">
        <v>21.5</v>
      </c>
      <c r="U51" s="1"/>
      <c r="V51" s="1"/>
      <c r="W51" s="1"/>
      <c r="AW51" s="192"/>
      <c r="AX51" s="192"/>
    </row>
    <row r="52" spans="1:50" x14ac:dyDescent="0.25">
      <c r="A52" s="192"/>
      <c r="B52" s="270" t="str">
        <f>IF(D6="Interino","Cuota Formación Profesional: 0,10% (trabajador) y 0,60% (empresa)",IF(D6="Carrera (posterior a 1 enero 2011)","Coeficiente reductor: 0,009 (trabajador) y 0,046 (empresa)"," "))</f>
        <v>Cuota Formación Profesional: 0,10% (trabajador) y 0,60% (empresa)</v>
      </c>
      <c r="C52" s="271"/>
      <c r="D52" s="204">
        <f>IF(AND(D$13=K$2,D$11=J$2),Nóminab!D51,IF(AND(D$13=K$3,D$11=J$2),Nóminab!F51,IF(AND(D$13=K$2,D$11=J$3),Nóminab!E51,IF(AND(D$13=K$3,D$11=J$3),Nóminab!G51,0))))</f>
        <v>-3.21</v>
      </c>
      <c r="E52" s="205" t="str">
        <f>IF(D6="Interino","Interinos: Estimación del % IRPF del año completo","")</f>
        <v>Interinos: Estimación del % IRPF del año completo</v>
      </c>
      <c r="F52" s="39">
        <v>44</v>
      </c>
      <c r="G52" s="39">
        <v>22</v>
      </c>
      <c r="U52" s="1"/>
      <c r="V52" s="1"/>
      <c r="W52" s="1"/>
      <c r="AW52" s="192"/>
      <c r="AX52" s="192"/>
    </row>
    <row r="53" spans="1:50" x14ac:dyDescent="0.25">
      <c r="A53" s="192"/>
      <c r="B53" s="202" t="s">
        <v>224</v>
      </c>
      <c r="C53" s="219">
        <f>IF(D6="Interino",+'IRPF meses nombrado'!B35,+'IRPF año completo'!B35)</f>
        <v>0.14581899923358613</v>
      </c>
      <c r="D53" s="204">
        <f>+D46*-C53</f>
        <v>-554.56117378626755</v>
      </c>
      <c r="E53" s="206">
        <f>IF(D6="Interino",+'IRPF año completo'!B35,"")</f>
        <v>0.19104934341459673</v>
      </c>
      <c r="F53" s="39">
        <v>45</v>
      </c>
      <c r="G53" s="39">
        <v>22.5</v>
      </c>
      <c r="U53" s="1"/>
      <c r="V53" s="1"/>
      <c r="W53" s="1"/>
      <c r="AW53" s="192"/>
      <c r="AX53" s="192"/>
    </row>
    <row r="54" spans="1:50" ht="19.5" thickBot="1" x14ac:dyDescent="0.35">
      <c r="A54" s="192"/>
      <c r="B54" s="272" t="s">
        <v>46</v>
      </c>
      <c r="C54" s="273"/>
      <c r="D54" s="203">
        <f>+D53+D49+D50+D51+D52</f>
        <v>-764.65263211960087</v>
      </c>
      <c r="E54" s="192"/>
      <c r="G54" s="39">
        <v>23</v>
      </c>
      <c r="U54" s="1"/>
      <c r="V54" s="1"/>
      <c r="W54" s="1"/>
      <c r="AW54" s="192"/>
      <c r="AX54" s="192"/>
    </row>
    <row r="55" spans="1:50" ht="6" customHeight="1" x14ac:dyDescent="0.25">
      <c r="A55" s="192"/>
      <c r="B55" s="192"/>
      <c r="C55" s="192"/>
      <c r="D55" s="192"/>
      <c r="E55" s="192"/>
      <c r="G55" s="39">
        <v>23.5</v>
      </c>
      <c r="U55" s="1"/>
      <c r="V55" s="1"/>
      <c r="W55" s="1"/>
      <c r="AW55" s="192"/>
      <c r="AX55" s="192"/>
    </row>
    <row r="56" spans="1:50" ht="18.75" x14ac:dyDescent="0.3">
      <c r="A56" s="192"/>
      <c r="B56" s="274" t="s">
        <v>192</v>
      </c>
      <c r="C56" s="275"/>
      <c r="D56" s="191">
        <f>+D46+D54</f>
        <v>3038.4263678804</v>
      </c>
      <c r="E56" s="192"/>
      <c r="G56" s="39">
        <v>24</v>
      </c>
      <c r="U56" s="1"/>
      <c r="V56" s="1"/>
      <c r="W56" s="1"/>
      <c r="AW56" s="192"/>
      <c r="AX56" s="192"/>
    </row>
    <row r="57" spans="1:50" ht="6.75" customHeight="1" x14ac:dyDescent="0.25">
      <c r="A57" s="192"/>
      <c r="B57" s="192"/>
      <c r="C57" s="192"/>
      <c r="D57" s="192"/>
      <c r="E57" s="192"/>
      <c r="G57" s="39">
        <v>24.5</v>
      </c>
      <c r="U57" s="1"/>
      <c r="V57" s="1"/>
      <c r="W57" s="1"/>
      <c r="AW57" s="192"/>
      <c r="AX57" s="192"/>
    </row>
    <row r="58" spans="1:50" x14ac:dyDescent="0.25">
      <c r="A58" s="192"/>
      <c r="B58" s="257" t="str">
        <f>IF(AND(D11="mes",D13="Jornada completa"),"SUELDO BRUTO ANUAL. Año completo","SUELDO BRUTO ANUAL")</f>
        <v>SUELDO BRUTO ANUAL</v>
      </c>
      <c r="C58" s="258"/>
      <c r="D58" s="216" t="str">
        <f>IF(AND(D$13=K$2,D$11=J$2),Nóminab!D59,"No podemos estimarlo, por no ser de todo el curso")</f>
        <v>No podemos estimarlo, por no ser de todo el curso</v>
      </c>
      <c r="E58" s="192"/>
      <c r="G58" s="39">
        <v>25</v>
      </c>
      <c r="U58" s="1"/>
      <c r="V58" s="1"/>
      <c r="W58" s="1"/>
      <c r="AW58" s="192"/>
      <c r="AX58" s="192"/>
    </row>
    <row r="59" spans="1:50" x14ac:dyDescent="0.25">
      <c r="A59" s="192"/>
      <c r="B59" s="257" t="str">
        <f>IF(D6="carrera (anterior a 1 enero 2011)","Derechos Pasivos, MUFACE y Cuota sindical (anual)",IF(D6="Carrera (posterior a 1 enero 2011)","MUFACE, Seguridad Social y Cuota sindical. (Anual)","Seguridad Social y Cuota sindical. (anual)"))</f>
        <v>Seguridad Social y Cuota sindical. (anual)</v>
      </c>
      <c r="C59" s="258"/>
      <c r="D59" s="216" t="str">
        <f>IF(AND(D$13=K$2,D$11=J$2),Nóminab!D60,"No podemos estimarlo, por no ser de todo el curso")</f>
        <v>No podemos estimarlo, por no ser de todo el curso</v>
      </c>
      <c r="E59" s="192"/>
      <c r="U59" s="1"/>
      <c r="V59" s="1"/>
      <c r="W59" s="1"/>
      <c r="AW59" s="192"/>
      <c r="AX59" s="192"/>
    </row>
    <row r="60" spans="1:50" ht="5.25" customHeight="1" x14ac:dyDescent="0.25">
      <c r="A60" s="192"/>
      <c r="B60" s="192"/>
      <c r="C60" s="192"/>
      <c r="D60" s="192"/>
      <c r="E60" s="192"/>
      <c r="U60" s="1"/>
      <c r="V60" s="1"/>
      <c r="W60" s="1"/>
      <c r="AW60" s="192"/>
      <c r="AX60" s="192"/>
    </row>
    <row r="61" spans="1:50" x14ac:dyDescent="0.25">
      <c r="A61" s="192"/>
      <c r="B61" s="257" t="str">
        <f>IF(OR(D6="interino",D6="Carrera (posterior a 1 enero 2011)"),"Base cotización Seguridad Social","")</f>
        <v>Base cotización Seguridad Social</v>
      </c>
      <c r="C61" s="258"/>
      <c r="D61" s="26">
        <f>IF(AND(D$13=K$2,D$11=J$2),Nóminab!D62,IF(AND(D$13=K$3,D$11=J$2),Nóminab!F62,IF(AND(D$13=K$2,D$11=J$3),Nóminab!E62,IF(AND(D$13=K$3,D$11=J$3),Nóminab!G62,0))))</f>
        <v>3214.103333333333</v>
      </c>
      <c r="E61" s="192"/>
      <c r="U61" s="1"/>
      <c r="V61" s="1"/>
      <c r="W61" s="1"/>
      <c r="AW61" s="192"/>
      <c r="AX61" s="192"/>
    </row>
    <row r="62" spans="1:50" ht="4.5" customHeight="1" thickBot="1" x14ac:dyDescent="0.3">
      <c r="A62" s="192"/>
      <c r="B62" s="192"/>
      <c r="C62" s="192"/>
      <c r="D62" s="192"/>
      <c r="E62" s="192"/>
      <c r="U62" s="1"/>
      <c r="V62" s="1"/>
      <c r="W62" s="1"/>
      <c r="AW62" s="192"/>
      <c r="AX62" s="192"/>
    </row>
    <row r="63" spans="1:50" ht="19.5" thickBot="1" x14ac:dyDescent="0.35">
      <c r="A63" s="192"/>
      <c r="B63" s="292" t="s">
        <v>250</v>
      </c>
      <c r="C63" s="293"/>
      <c r="D63" s="293"/>
      <c r="E63" s="294"/>
      <c r="U63" s="1"/>
      <c r="V63" s="1"/>
      <c r="W63" s="1"/>
      <c r="AW63" s="192"/>
      <c r="AX63" s="192"/>
    </row>
    <row r="64" spans="1:50" x14ac:dyDescent="0.25">
      <c r="A64" s="192"/>
      <c r="B64" s="255"/>
      <c r="C64" s="192"/>
      <c r="D64" s="192"/>
      <c r="E64" s="256" t="s">
        <v>283</v>
      </c>
      <c r="U64" s="1"/>
      <c r="V64" s="1"/>
      <c r="W64" s="1"/>
      <c r="AW64" s="192"/>
      <c r="AX64" s="192"/>
    </row>
    <row r="65" spans="1:50" x14ac:dyDescent="0.25">
      <c r="A65" s="192"/>
      <c r="B65" s="192"/>
      <c r="C65" s="192"/>
      <c r="D65" s="192"/>
      <c r="E65" s="192"/>
      <c r="U65" s="1"/>
      <c r="V65" s="1"/>
      <c r="W65" s="1"/>
      <c r="AW65" s="192"/>
      <c r="AX65" s="192"/>
    </row>
    <row r="66" spans="1:50" x14ac:dyDescent="0.25">
      <c r="A66" s="192"/>
      <c r="B66" s="192"/>
      <c r="C66" s="192"/>
      <c r="D66" s="192"/>
      <c r="E66" s="192"/>
      <c r="U66" s="1"/>
      <c r="V66" s="1"/>
      <c r="W66" s="1"/>
      <c r="AW66" s="192"/>
      <c r="AX66" s="192"/>
    </row>
    <row r="67" spans="1:50" x14ac:dyDescent="0.25">
      <c r="A67" s="192"/>
      <c r="B67" s="192"/>
      <c r="C67" s="192"/>
      <c r="D67" s="192"/>
      <c r="E67" s="192"/>
      <c r="V67" s="1"/>
      <c r="W67" s="1"/>
      <c r="AW67" s="192"/>
      <c r="AX67" s="192"/>
    </row>
    <row r="68" spans="1:50" x14ac:dyDescent="0.25">
      <c r="A68" s="192"/>
      <c r="B68" s="192"/>
      <c r="C68" s="192"/>
      <c r="D68" s="192"/>
      <c r="E68" s="192"/>
      <c r="S68" s="130" t="s">
        <v>258</v>
      </c>
      <c r="T68" s="39"/>
      <c r="U68" s="39">
        <f>IF(B21=S69,T69,IF(B21=S70,T70,IF(B21=S71,T71,IF(B21=S72,T72,IF(B21=S73,T73,IF(B21=S74,T74,IF(B21=S75,T75,IF(B21=S76,T76,IF(B21=S77,T77,IF(B21=S78,T78,IF(B21=S79,T79,IF(B21=S80,T80,IF(B21=S81,T81,IF(B21=S82,T82,IF(B21=S83,T83,IF(B21=S84,T84,IF(B21=S85,T85,IF(B21=S86,T86,IF(B21=S87,T87,IF(B21=S88,T88,IF(B21=S89,T89,IF(B21=S90,T90,IF(B21=S91,T91,IF(B21=S92,T92,IF(B21=S93,T93,IF(B21=S94,T94,IF(B21=S95,T95,IF(B21=S96,T96,IF(B21=S97,T97,IF(B21=S98,T98,IF(B21=S99,T99,IF(B21=S100,T100,IF(B21=S101,T101,IF(B21=S102,T102,IF(B21=S103,T103,IF(B21=S104,T104,IF(B21=S105,T105,IF(B21=S106,T106,IF(B21=S107,T107,IF(B21=S108,T108,IF(B21=S109,T109,IF(B21=S110,T110,0))))))))))))))))))))))))))))))))))))))))))</f>
        <v>0</v>
      </c>
      <c r="V68" s="1"/>
      <c r="W68" s="1"/>
      <c r="AW68" s="192"/>
      <c r="AX68" s="192"/>
    </row>
    <row r="69" spans="1:50" x14ac:dyDescent="0.25">
      <c r="A69" s="192"/>
      <c r="B69" s="192"/>
      <c r="C69" s="192"/>
      <c r="D69" s="192"/>
      <c r="E69" s="192"/>
      <c r="S69" s="126" t="str">
        <f>+Retribuciones!AU25</f>
        <v>Director/ra CEIP, CEP, CEEE, EEI, CEPA. Coordinador CER. Tipo A (Más de 35 Unidades)</v>
      </c>
      <c r="T69" s="102">
        <f>+Retribuciones!AV25</f>
        <v>557.31999999999994</v>
      </c>
      <c r="V69" s="1"/>
      <c r="W69" s="1"/>
      <c r="AW69" s="192"/>
      <c r="AX69" s="192"/>
    </row>
    <row r="70" spans="1:50" x14ac:dyDescent="0.25">
      <c r="A70" s="192"/>
      <c r="B70" s="192"/>
      <c r="C70" s="192"/>
      <c r="D70" s="192"/>
      <c r="E70" s="192"/>
      <c r="S70" s="126" t="str">
        <f>+Retribuciones!AU26</f>
        <v>Director/ra CEIP, CEP, CEEE, EEI, CEPA. Coordinador CER. Tipo B (27 a 35 Unidades)</v>
      </c>
      <c r="T70" s="102">
        <f>+Retribuciones!AV26</f>
        <v>508.49</v>
      </c>
      <c r="V70" s="1"/>
      <c r="W70" s="1"/>
      <c r="AW70" s="192"/>
      <c r="AX70" s="192"/>
    </row>
    <row r="71" spans="1:50" x14ac:dyDescent="0.25">
      <c r="S71" s="126" t="str">
        <f>+Retribuciones!AU27</f>
        <v>Director/ra CEIP, CEP, CEEE, EEI, CEPA. Coordinador CER. Tipo C (18 a 26 Unidades)</v>
      </c>
      <c r="T71" s="102">
        <f>+Retribuciones!AV27</f>
        <v>383.46999999999997</v>
      </c>
      <c r="AW71" s="254"/>
    </row>
    <row r="72" spans="1:50" x14ac:dyDescent="0.25">
      <c r="S72" s="127" t="str">
        <f>+Retribuciones!AU28</f>
        <v>Director/ra CEIP, CEP, CEEE, EEI, CEPA. Coordinador CER. Tipo D (9 a 17 Unidades)</v>
      </c>
      <c r="T72" s="102">
        <f>+Retribuciones!AV28</f>
        <v>291.77999999999997</v>
      </c>
    </row>
    <row r="73" spans="1:50" x14ac:dyDescent="0.25">
      <c r="S73" s="127" t="str">
        <f>+Retribuciones!AU29</f>
        <v>Director/ra CEIP, CEP, CEEE, EEI, CEPA. Coordinador CER. Tipo E (6 a 8 Unidades)</v>
      </c>
      <c r="T73" s="102">
        <f>+Retribuciones!AV29</f>
        <v>197.73</v>
      </c>
    </row>
    <row r="74" spans="1:50" x14ac:dyDescent="0.25">
      <c r="S74" s="127" t="str">
        <f>+Retribuciones!AU30</f>
        <v>Director/ra CEIP, CEP, CEEE, EEI, CEPA. Coordinador CER. Tipo F (1 a 5 Unidades)</v>
      </c>
      <c r="T74" s="102">
        <f>+Retribuciones!AV30</f>
        <v>123.9</v>
      </c>
    </row>
    <row r="75" spans="1:50" x14ac:dyDescent="0.25">
      <c r="S75" s="126" t="str">
        <f>+Retribuciones!AU31</f>
        <v>J. Estudios. CEIP, CEP, CEEE, EEI, CEPA. Tipo A (Más de 35 Unidades)</v>
      </c>
      <c r="T75" s="102">
        <f>+Retribuciones!AV31</f>
        <v>228.67999999999998</v>
      </c>
    </row>
    <row r="76" spans="1:50" x14ac:dyDescent="0.25">
      <c r="S76" s="126" t="str">
        <f>+Retribuciones!AU32</f>
        <v>J. Estudios. CEIP, CEP, CEEE, EEI, CEPA. Tipo B (27 a 35 Unidades)</v>
      </c>
      <c r="T76" s="102">
        <f>+Retribuciones!AV32</f>
        <v>219.17</v>
      </c>
    </row>
    <row r="77" spans="1:50" x14ac:dyDescent="0.25">
      <c r="S77" s="127" t="str">
        <f>+Retribuciones!AU33</f>
        <v>J. Estudios. CEIP, CEP, CEEE, EEI, CEPA. Tipo C (18 a 26 Unidades)</v>
      </c>
      <c r="T77" s="102">
        <f>+Retribuciones!AV33</f>
        <v>204.85</v>
      </c>
    </row>
    <row r="78" spans="1:50" x14ac:dyDescent="0.25">
      <c r="S78" s="126" t="str">
        <f>+Retribuciones!AU34</f>
        <v>J. Estudios. CEIP, CEP, CEEE, EEI, CEPA. Tipo D (9 a 17 Unidades)</v>
      </c>
      <c r="T78" s="102">
        <f>+Retribuciones!AV34</f>
        <v>159.60999999999999</v>
      </c>
    </row>
    <row r="79" spans="1:50" x14ac:dyDescent="0.25">
      <c r="S79" s="127" t="str">
        <f>+Retribuciones!AU35</f>
        <v>Secretario/a. CEIP, CEP, CEEE, EEI, CEPA. Tipo A (Más de 35 Unidades)</v>
      </c>
      <c r="T79" s="102">
        <f>+Retribuciones!AV35</f>
        <v>228.67999999999998</v>
      </c>
    </row>
    <row r="80" spans="1:50" x14ac:dyDescent="0.25">
      <c r="S80" s="126" t="str">
        <f>+Retribuciones!AU36</f>
        <v>Secretario/a. CEIP, CEP, CEEE, EEI, CEPA. Tipo B (27 a 35 Unidades)</v>
      </c>
      <c r="T80" s="102">
        <f>+Retribuciones!AV36</f>
        <v>219.17</v>
      </c>
    </row>
    <row r="81" spans="19:20" x14ac:dyDescent="0.25">
      <c r="S81" s="126" t="str">
        <f>+Retribuciones!AU37</f>
        <v>Secretario/a. CEIP, CEP, CEEE, EEI, CEPA. Tipo C (18 a 26 Unidades)</v>
      </c>
      <c r="T81" s="102">
        <f>+Retribuciones!AV37</f>
        <v>204.85</v>
      </c>
    </row>
    <row r="82" spans="19:20" x14ac:dyDescent="0.25">
      <c r="S82" s="126" t="str">
        <f>+Retribuciones!AU38</f>
        <v>Secretario/a. CEIP, CEP, CEEE, EEI, CEPA. Tipo D (9 a 17 Unidades)</v>
      </c>
      <c r="T82" s="102">
        <f>+Retribuciones!AV38</f>
        <v>159.60999999999999</v>
      </c>
    </row>
    <row r="83" spans="19:20" x14ac:dyDescent="0.25">
      <c r="S83" s="126" t="str">
        <f>+Retribuciones!AU39</f>
        <v>Secretario/a. CEIP, CEP, CEEE, EEI, CEPA. Tipo E (6 a 8 Unidades)</v>
      </c>
      <c r="T83" s="102">
        <f>+Retribuciones!AV39</f>
        <v>107.21000000000001</v>
      </c>
    </row>
    <row r="84" spans="19:20" x14ac:dyDescent="0.25">
      <c r="S84" s="126" t="str">
        <f>+Retribuciones!AU40</f>
        <v>Vicedirector/ra. CEIP, CEP, CEEE, EEI Tipo A (Más de 35 Unidades)</v>
      </c>
      <c r="T84" s="102">
        <f>+Retribuciones!AV40</f>
        <v>228.67999999999998</v>
      </c>
    </row>
    <row r="85" spans="19:20" x14ac:dyDescent="0.25">
      <c r="S85" s="126" t="str">
        <f>+Retribuciones!AU41</f>
        <v>Vicedirector/ra. CEIP, CEP, CEEE, EEI Tipo B (27 a 35 Unidades)</v>
      </c>
      <c r="T85" s="102">
        <f>+Retribuciones!AV41</f>
        <v>219.17</v>
      </c>
    </row>
    <row r="86" spans="19:20" x14ac:dyDescent="0.25">
      <c r="S86" s="127" t="str">
        <f>+Retribuciones!AU42</f>
        <v>Vicedirector/ra. CEIP, CEP, CEEE, EEI Tipo C (18 a 26 Unidades)</v>
      </c>
      <c r="T86" s="102">
        <f>+Retribuciones!AV42</f>
        <v>204.85</v>
      </c>
    </row>
    <row r="87" spans="19:20" x14ac:dyDescent="0.25">
      <c r="S87" s="128" t="str">
        <f>+Retribuciones!AU43</f>
        <v>Director/ra IES, CEO, EA. Centro Tipo A (1650 o más Alumnos)</v>
      </c>
      <c r="T87" s="102">
        <f>+Retribuciones!AV43</f>
        <v>700.47</v>
      </c>
    </row>
    <row r="88" spans="19:20" x14ac:dyDescent="0.25">
      <c r="S88" s="128" t="str">
        <f>+Retribuciones!AU44</f>
        <v>Director/ra IES, CEO, EA. Centro Tipo B (de 901 a 1649 Alumnos)</v>
      </c>
      <c r="T88" s="102">
        <f>+Retribuciones!AV44</f>
        <v>623.09</v>
      </c>
    </row>
    <row r="89" spans="19:20" x14ac:dyDescent="0.25">
      <c r="S89" s="128" t="str">
        <f>+Retribuciones!AU45</f>
        <v>Director/ra IES, CEO, EA. Centro Tipo C (de 581 a 900 Alumnos)</v>
      </c>
      <c r="T89" s="102">
        <f>+Retribuciones!AV45</f>
        <v>561.12</v>
      </c>
    </row>
    <row r="90" spans="19:20" x14ac:dyDescent="0.25">
      <c r="S90" s="128" t="str">
        <f>+Retribuciones!AU46</f>
        <v>Director/ra IES, CEO, EA. Centro Tipo D (hasta 580 Alumnos)</v>
      </c>
      <c r="T90" s="102">
        <f>+Retribuciones!AV46</f>
        <v>511.08</v>
      </c>
    </row>
    <row r="91" spans="19:20" x14ac:dyDescent="0.25">
      <c r="S91" s="128" t="str">
        <f>+Retribuciones!AU47</f>
        <v>Jefe Estudios IES, CEO, EA. Centro Tipo A (1650 o más Alumnos)</v>
      </c>
      <c r="T91" s="102">
        <f>+Retribuciones!AV47</f>
        <v>344.34999999999997</v>
      </c>
    </row>
    <row r="92" spans="19:20" x14ac:dyDescent="0.25">
      <c r="S92" s="129" t="str">
        <f>+Retribuciones!AU48</f>
        <v>Jefe Estudios IES, CEO, EA. Centro Tipo B (de 901 a 1649 Alumnos)</v>
      </c>
      <c r="T92" s="102">
        <f>+Retribuciones!AV48</f>
        <v>330.03999999999996</v>
      </c>
    </row>
    <row r="93" spans="19:20" x14ac:dyDescent="0.25">
      <c r="S93" s="129" t="str">
        <f>+Retribuciones!AU49</f>
        <v>Jefe Estudios IES, CEO, EA. Centro Tipo C (de 581 a 900 Alumnos)</v>
      </c>
      <c r="T93" s="102">
        <f>+Retribuciones!AV49</f>
        <v>256.17</v>
      </c>
    </row>
    <row r="94" spans="19:20" x14ac:dyDescent="0.25">
      <c r="S94" s="129" t="str">
        <f>+Retribuciones!AU50</f>
        <v>Jefe Estudios IES, CEO, EA. Centro Tipo D (hasta 580 Alumnos)</v>
      </c>
      <c r="T94" s="102">
        <f>+Retribuciones!AV50</f>
        <v>204.95999999999998</v>
      </c>
    </row>
    <row r="95" spans="19:20" x14ac:dyDescent="0.25">
      <c r="S95" s="129" t="str">
        <f>+Retribuciones!AU51</f>
        <v>Secretario/a IES, CEO, EA. Centro Tipo A (1650 o más Alumnos)</v>
      </c>
      <c r="T95" s="102">
        <f>+Retribuciones!AV51</f>
        <v>344.34999999999997</v>
      </c>
    </row>
    <row r="96" spans="19:20" x14ac:dyDescent="0.25">
      <c r="S96" s="129" t="str">
        <f>+Retribuciones!AU52</f>
        <v>Secretario/a IES, CEO, EA. Centro Tipo B (de 901 a 1649 Alumnos)</v>
      </c>
      <c r="T96" s="102">
        <f>+Retribuciones!AV52</f>
        <v>330.03999999999996</v>
      </c>
    </row>
    <row r="97" spans="19:21" x14ac:dyDescent="0.25">
      <c r="S97" s="128" t="str">
        <f>+Retribuciones!AU53</f>
        <v>Secretario/a IES, CEO, EA. Centro Tipo C (de 581 a 900 Alumnos)</v>
      </c>
      <c r="T97" s="102">
        <f>+Retribuciones!AV53</f>
        <v>256.17</v>
      </c>
    </row>
    <row r="98" spans="19:21" x14ac:dyDescent="0.25">
      <c r="S98" s="128" t="str">
        <f>+Retribuciones!AU54</f>
        <v>Secretario/a IES, CEO, EA. Centro Tipo D (hasta 580 Alumnos)</v>
      </c>
      <c r="T98" s="102">
        <f>+Retribuciones!AV54</f>
        <v>204.95999999999998</v>
      </c>
    </row>
    <row r="99" spans="19:21" x14ac:dyDescent="0.25">
      <c r="S99" s="128" t="str">
        <f>+Retribuciones!AU55</f>
        <v>Vicedirector/ra IES, CEO, EA. Centro Tipo A (1650 o más Alumnos)</v>
      </c>
      <c r="T99" s="102">
        <f>+Retribuciones!AV55</f>
        <v>344.34999999999997</v>
      </c>
    </row>
    <row r="100" spans="19:21" x14ac:dyDescent="0.25">
      <c r="S100" s="128" t="str">
        <f>+Retribuciones!AU56</f>
        <v>Vicedirector/ra IES, CEO, EA. Centro Tipo B (de 901 a 1649 Alumnos)</v>
      </c>
      <c r="T100" s="102">
        <f>+Retribuciones!AV56</f>
        <v>330.03999999999996</v>
      </c>
    </row>
    <row r="101" spans="19:21" x14ac:dyDescent="0.25">
      <c r="S101" s="128" t="str">
        <f>+Retribuciones!AU57</f>
        <v>Vicedirector/ra IES, CEO, EA. Centro Tipo C (de 581 a 900 Alumnos)</v>
      </c>
      <c r="T101" s="102">
        <f>+Retribuciones!AV57</f>
        <v>256.17</v>
      </c>
    </row>
    <row r="102" spans="19:21" x14ac:dyDescent="0.25">
      <c r="S102" s="128" t="str">
        <f>+Retribuciones!AU58</f>
        <v>Vicedirector/ra IES, CEO, EA. Centro Tipo D (hasta 580 Alumnos)</v>
      </c>
      <c r="T102" s="102">
        <f>+Retribuciones!AV58</f>
        <v>204.95999999999998</v>
      </c>
    </row>
    <row r="103" spans="19:21" x14ac:dyDescent="0.25">
      <c r="S103" s="128" t="str">
        <f>+Retribuciones!AU59</f>
        <v>Jefe Estudios Adjunto IES, CEO, EA. Centro Tipo A (1650 o más Alumnos)</v>
      </c>
      <c r="T103" s="102">
        <f>+Retribuciones!AV59</f>
        <v>172.19</v>
      </c>
    </row>
    <row r="104" spans="19:21" x14ac:dyDescent="0.25">
      <c r="S104" s="129" t="str">
        <f>+Retribuciones!AU60</f>
        <v>Jefe Estudios Adjunto IES, CEO, EA. Centro Tipo B (de 901 a 1649 Alumnos)</v>
      </c>
      <c r="T104" s="102">
        <f>+Retribuciones!AV60</f>
        <v>165.04999999999998</v>
      </c>
    </row>
    <row r="105" spans="19:21" x14ac:dyDescent="0.25">
      <c r="S105" s="129" t="str">
        <f>+Retribuciones!AU61</f>
        <v>Jefe Estudios Adjunto IES, CEO, EA. Centro Tipo C (de 581 a 900 Alumnos)</v>
      </c>
      <c r="T105" s="102">
        <f>+Retribuciones!AV61</f>
        <v>128.13</v>
      </c>
    </row>
    <row r="106" spans="19:21" x14ac:dyDescent="0.25">
      <c r="S106" s="129" t="str">
        <f>+Retribuciones!AU62</f>
        <v>Jefe Estudios Adjunto IES, CEO, EA. Centro Tipo D (hasta 580 Alumnos)</v>
      </c>
      <c r="T106" s="102">
        <f>+Retribuciones!AV62</f>
        <v>102.53</v>
      </c>
    </row>
    <row r="107" spans="19:21" x14ac:dyDescent="0.25">
      <c r="S107" s="14" t="str">
        <f>+Retribuciones!AU63</f>
        <v>Director de Centros de Profesores</v>
      </c>
      <c r="T107" s="102">
        <f>+Retribuciones!AV63</f>
        <v>367.13</v>
      </c>
    </row>
    <row r="108" spans="19:21" x14ac:dyDescent="0.25">
      <c r="S108" s="14" t="str">
        <f>+Retribuciones!AU64</f>
        <v>Director de Residencia Escolar Permanente</v>
      </c>
      <c r="T108" s="102">
        <f>+Retribuciones!AV64</f>
        <v>340.71</v>
      </c>
    </row>
    <row r="109" spans="19:21" x14ac:dyDescent="0.25">
      <c r="S109" s="13" t="str">
        <f>+Retribuciones!AU65</f>
        <v>Director de Residencia Escolar</v>
      </c>
      <c r="T109" s="102">
        <f>+Retribuciones!AV65</f>
        <v>177.35999999999999</v>
      </c>
    </row>
    <row r="110" spans="19:21" x14ac:dyDescent="0.25">
      <c r="S110" s="13" t="str">
        <f>+Retribuciones!AU66</f>
        <v>Coordinador EOEP</v>
      </c>
      <c r="T110" s="102">
        <f>+Retribuciones!AV66</f>
        <v>106.82000000000001</v>
      </c>
    </row>
    <row r="111" spans="19:21" x14ac:dyDescent="0.25">
      <c r="S111" s="39" t="str">
        <f>+Retribuciones!AU69</f>
        <v>Otros complementos: Jefe departamento, Encargado comedor, Maestros en Residencia, otros</v>
      </c>
      <c r="U111" s="39">
        <f>IF(B22=S112,T112,IF(B22=S113,T113,IF(B22=S114,T114,IF(B22=S115,T115,IF(B22=S116,T116,IF(B22=S117,T117,IF(B22=S118,T118,IF(B22=S119,T119,IF(B22=S120,T120,IF(B22=S121,T121,IF(B22=S122,T122,IF(B22=S123,T123,0))))))))))))</f>
        <v>0</v>
      </c>
    </row>
    <row r="112" spans="19:21" x14ac:dyDescent="0.25">
      <c r="S112" s="14" t="str">
        <f>+Retribuciones!AU70</f>
        <v>Jefe de Departamento</v>
      </c>
      <c r="T112" s="102">
        <f>+Retribuciones!AV70</f>
        <v>71.52000000000001</v>
      </c>
    </row>
    <row r="113" spans="19:21" x14ac:dyDescent="0.25">
      <c r="S113" s="13" t="str">
        <f>+Retribuciones!AU67</f>
        <v>Coordinador de Servicios Centrales. Tipo A1 (A)</v>
      </c>
      <c r="T113" s="102">
        <f>+Retribuciones!AV67</f>
        <v>415.71999999999997</v>
      </c>
    </row>
    <row r="114" spans="19:21" x14ac:dyDescent="0.25">
      <c r="S114" s="13" t="str">
        <f>+Retribuciones!AU68</f>
        <v>Coordinador de Servicios Centrales. Tipo A2 (B)</v>
      </c>
      <c r="T114" s="102">
        <f>+Retribuciones!AV68</f>
        <v>236.16</v>
      </c>
    </row>
    <row r="115" spans="19:21" x14ac:dyDescent="0.25">
      <c r="S115" s="14" t="str">
        <f>+Retribuciones!AU71</f>
        <v>Encargado/a Comedor Gestión Directa. Módulo Hasta 100 comensales.</v>
      </c>
      <c r="T115" s="102">
        <f>+Retribuciones!AV71</f>
        <v>140.66</v>
      </c>
    </row>
    <row r="116" spans="19:21" x14ac:dyDescent="0.25">
      <c r="S116" s="14" t="str">
        <f>+Retribuciones!AU72</f>
        <v>Encargado/a Comedor Gestión Directa. Módulo De 101 a 300 comensales.</v>
      </c>
      <c r="T116" s="102">
        <f>+Retribuciones!AV72</f>
        <v>148.32999999999998</v>
      </c>
    </row>
    <row r="117" spans="19:21" x14ac:dyDescent="0.25">
      <c r="S117" s="14" t="str">
        <f>+Retribuciones!AU73</f>
        <v>Encargado/a Comedor Gestión Directa. Módulo Más de 300 comensales.</v>
      </c>
      <c r="T117" s="102">
        <f>+Retribuciones!AV73</f>
        <v>159.22999999999999</v>
      </c>
    </row>
    <row r="118" spans="19:21" x14ac:dyDescent="0.25">
      <c r="S118" s="14" t="str">
        <f>+Retribuciones!AU74</f>
        <v>Encargado/a Comedor Gestión Contratada. Módulo Hasta 100 comensales.</v>
      </c>
      <c r="T118" s="102">
        <f>+Retribuciones!AV74</f>
        <v>122.80000000000001</v>
      </c>
    </row>
    <row r="119" spans="19:21" x14ac:dyDescent="0.25">
      <c r="S119" s="13" t="str">
        <f>+Retribuciones!AU75</f>
        <v>Encargado/a Comedor Gestión Contratada. Módulo De 101 a 300 comensales.</v>
      </c>
      <c r="T119" s="102">
        <f>+Retribuciones!AV75</f>
        <v>129.66</v>
      </c>
    </row>
    <row r="120" spans="19:21" x14ac:dyDescent="0.25">
      <c r="S120" s="13" t="str">
        <f>+Retribuciones!AU76</f>
        <v>Encargado/a Comedor Gestión Contratada. Módulo Más de 300 comensales.</v>
      </c>
      <c r="T120" s="102">
        <f>+Retribuciones!AV76</f>
        <v>137.03</v>
      </c>
    </row>
    <row r="121" spans="19:21" x14ac:dyDescent="0.25">
      <c r="S121" s="13" t="str">
        <f>+Retribuciones!AU77</f>
        <v>Maestros de Ocio con Residencia Permanente</v>
      </c>
      <c r="T121" s="102">
        <f>+Retribuciones!AV77</f>
        <v>153.87</v>
      </c>
    </row>
    <row r="122" spans="19:21" x14ac:dyDescent="0.25">
      <c r="S122" s="13" t="str">
        <f>+Retribuciones!AU78</f>
        <v>Hora Lectiva Complementaria, Refuerzo Educativo. Grupo A1</v>
      </c>
      <c r="T122" s="102">
        <f>+Retribuciones!AV78</f>
        <v>20.84</v>
      </c>
    </row>
    <row r="123" spans="19:21" x14ac:dyDescent="0.25">
      <c r="S123" s="13" t="str">
        <f>+Retribuciones!AU79</f>
        <v>Hora Lectiva Complementaria, Refuerzo Educativo. Grupo A2</v>
      </c>
      <c r="T123" s="102">
        <f>+Retribuciones!AV79</f>
        <v>17.73</v>
      </c>
    </row>
    <row r="124" spans="19:21" x14ac:dyDescent="0.25">
      <c r="S124" s="14" t="str">
        <f>+Retribuciones!AU80</f>
        <v>Maestros de Primero y Segundo de Enseñanza Secundaria Obligatoria</v>
      </c>
      <c r="T124" s="102">
        <f>+Retribuciones!AV80</f>
        <v>80.850000000000009</v>
      </c>
    </row>
    <row r="125" spans="19:21" x14ac:dyDescent="0.25">
      <c r="S125" s="132" t="str">
        <f>+Retribuciones!AU81</f>
        <v>Otros complementos: Tutoría, AICLE/PILE, Coordinación</v>
      </c>
      <c r="U125" s="39">
        <f>IF(B23=S126,T126,IF(B23=S127,T127,IF(B23=S128,T128,IF(B23=S129,T129,IF(B23=S130,T130,IF(B23=S131,T131,IF(B23=S132,T132,IF(B23=S133,T133,IF(B23=S134,T134,IF(B23=S135,T135,IF(B23=S136,T136,0)))))))))))</f>
        <v>0</v>
      </c>
    </row>
    <row r="126" spans="19:21" x14ac:dyDescent="0.25">
      <c r="S126" s="14" t="str">
        <f>+Retribuciones!AU82</f>
        <v xml:space="preserve">Coordinador/a Formación en Centros de Trabajo </v>
      </c>
      <c r="T126" s="102">
        <f>+Retribuciones!AV82</f>
        <v>71.52000000000001</v>
      </c>
    </row>
    <row r="127" spans="19:21" x14ac:dyDescent="0.25">
      <c r="S127" s="14" t="str">
        <f>+Retribuciones!AU83</f>
        <v>Tutoría</v>
      </c>
      <c r="T127" s="102">
        <f>+Retribuciones!AV83</f>
        <v>35</v>
      </c>
    </row>
    <row r="128" spans="19:21" x14ac:dyDescent="0.25">
      <c r="S128" s="14" t="str">
        <f>+Retribuciones!AU84</f>
        <v>Impartición docencia en lengua extranjera. Maestros de Inglés sin B2, ni C1, ni C2</v>
      </c>
      <c r="T128" s="102">
        <f>+Retribuciones!AV84</f>
        <v>35</v>
      </c>
    </row>
    <row r="129" spans="19:21" x14ac:dyDescent="0.25">
      <c r="S129" s="14" t="str">
        <f>+Retribuciones!AU85</f>
        <v>Impartición docencia en lengua extranjera. Profesorado con B2</v>
      </c>
      <c r="T129" s="102">
        <f>+Retribuciones!AV85</f>
        <v>35</v>
      </c>
    </row>
    <row r="130" spans="19:21" x14ac:dyDescent="0.25">
      <c r="S130" s="14" t="str">
        <f>+Retribuciones!AU86</f>
        <v>Impartición docencia en lengua extranjera. Profesorado con C1 o C2</v>
      </c>
      <c r="T130" s="102">
        <f>+Retribuciones!AV86</f>
        <v>45</v>
      </c>
    </row>
    <row r="131" spans="19:21" x14ac:dyDescent="0.25">
      <c r="S131" s="14" t="str">
        <f>+Retribuciones!AU87</f>
        <v>Coordinación impartición docencia en lengua extranjera. Nivel B2</v>
      </c>
      <c r="T131" s="102">
        <f>+Retribuciones!AV87</f>
        <v>45</v>
      </c>
    </row>
    <row r="132" spans="19:21" x14ac:dyDescent="0.25">
      <c r="S132" s="14" t="str">
        <f>+Retribuciones!AU88</f>
        <v>Coordinación impartición docencia en lengua extranjera. Nivel C1 o C2</v>
      </c>
      <c r="T132" s="102">
        <f>+Retribuciones!AV88</f>
        <v>55</v>
      </c>
    </row>
    <row r="133" spans="19:21" x14ac:dyDescent="0.25">
      <c r="S133" s="14" t="str">
        <f>+Retribuciones!AU89</f>
        <v>Coordinación en convivencia</v>
      </c>
      <c r="T133" s="102">
        <f>+Retribuciones!AV89</f>
        <v>30</v>
      </c>
    </row>
    <row r="134" spans="19:21" x14ac:dyDescent="0.25">
      <c r="S134" s="14" t="str">
        <f>+Retribuciones!AU90</f>
        <v>Coordinación en prevención de riesgos laborales</v>
      </c>
      <c r="T134" s="102">
        <f>+Retribuciones!AV90</f>
        <v>30</v>
      </c>
    </row>
    <row r="135" spans="19:21" x14ac:dyDescent="0.25">
      <c r="S135" s="14" t="str">
        <f>+Retribuciones!AU91</f>
        <v>Coordinación en tecnologías de la información y la comunicación (TIC)</v>
      </c>
      <c r="T135" s="102">
        <f>+Retribuciones!AV91</f>
        <v>30</v>
      </c>
    </row>
    <row r="136" spans="19:21" ht="15.75" x14ac:dyDescent="0.25">
      <c r="S136" s="209"/>
      <c r="T136" s="209"/>
    </row>
    <row r="137" spans="19:21" x14ac:dyDescent="0.25">
      <c r="S137" s="132" t="s">
        <v>256</v>
      </c>
      <c r="U137" s="39">
        <f>IF(B24=S138,T138,IF(B24=S139,T139,IF(B24=S140,T140,IF(B24=S141,T141,IF(B24=S142,T142,IF(B24=S143,T143,IF(B24=S144,T144,IF(B24=S145,T145,IF(B24=S146,T146,0)))))))))</f>
        <v>0</v>
      </c>
    </row>
    <row r="138" spans="19:21" x14ac:dyDescent="0.25">
      <c r="S138" s="14" t="str">
        <f>+Retribuciones!AU84</f>
        <v>Impartición docencia en lengua extranjera. Maestros de Inglés sin B2, ni C1, ni C2</v>
      </c>
      <c r="T138" s="102">
        <f>+Retribuciones!AV84</f>
        <v>35</v>
      </c>
    </row>
    <row r="139" spans="19:21" x14ac:dyDescent="0.25">
      <c r="S139" s="14" t="str">
        <f>+Retribuciones!AU85</f>
        <v>Impartición docencia en lengua extranjera. Profesorado con B2</v>
      </c>
      <c r="T139" s="102">
        <f>+Retribuciones!AV85</f>
        <v>35</v>
      </c>
    </row>
    <row r="140" spans="19:21" x14ac:dyDescent="0.25">
      <c r="S140" s="14" t="str">
        <f>+Retribuciones!AU86</f>
        <v>Impartición docencia en lengua extranjera. Profesorado con C1 o C2</v>
      </c>
      <c r="T140" s="102">
        <f>+Retribuciones!AV86</f>
        <v>45</v>
      </c>
    </row>
    <row r="141" spans="19:21" x14ac:dyDescent="0.25">
      <c r="S141" s="14" t="str">
        <f>+Retribuciones!AU87</f>
        <v>Coordinación impartición docencia en lengua extranjera. Nivel B2</v>
      </c>
      <c r="T141" s="102">
        <f>+Retribuciones!AV87</f>
        <v>45</v>
      </c>
    </row>
    <row r="142" spans="19:21" x14ac:dyDescent="0.25">
      <c r="S142" s="14" t="str">
        <f>+Retribuciones!AU88</f>
        <v>Coordinación impartición docencia en lengua extranjera. Nivel C1 o C2</v>
      </c>
      <c r="T142" s="102">
        <f>+Retribuciones!AV88</f>
        <v>55</v>
      </c>
    </row>
    <row r="143" spans="19:21" x14ac:dyDescent="0.25">
      <c r="S143" s="14" t="str">
        <f>+Retribuciones!AU89</f>
        <v>Coordinación en convivencia</v>
      </c>
      <c r="T143" s="102">
        <f>+Retribuciones!AV89</f>
        <v>30</v>
      </c>
    </row>
    <row r="144" spans="19:21" x14ac:dyDescent="0.25">
      <c r="S144" s="14" t="str">
        <f>+Retribuciones!AU90</f>
        <v>Coordinación en prevención de riesgos laborales</v>
      </c>
      <c r="T144" s="102">
        <f>+Retribuciones!AV90</f>
        <v>30</v>
      </c>
    </row>
    <row r="145" spans="19:20" x14ac:dyDescent="0.25">
      <c r="S145" s="14" t="str">
        <f>+Retribuciones!AU91</f>
        <v>Coordinación en tecnologías de la información y la comunicación (TIC)</v>
      </c>
      <c r="T145" s="102">
        <f>+Retribuciones!AV91</f>
        <v>30</v>
      </c>
    </row>
    <row r="146" spans="19:20" x14ac:dyDescent="0.25">
      <c r="S146" s="57"/>
      <c r="T146" s="57"/>
    </row>
  </sheetData>
  <dataConsolidate/>
  <mergeCells count="51">
    <mergeCell ref="B41:C41"/>
    <mergeCell ref="B42:C42"/>
    <mergeCell ref="B43:C43"/>
    <mergeCell ref="B63:E63"/>
    <mergeCell ref="B18:C18"/>
    <mergeCell ref="B19:C19"/>
    <mergeCell ref="B20:C20"/>
    <mergeCell ref="B27:C27"/>
    <mergeCell ref="B28:C28"/>
    <mergeCell ref="B29:C29"/>
    <mergeCell ref="B22:D22"/>
    <mergeCell ref="B23:D23"/>
    <mergeCell ref="B24:D24"/>
    <mergeCell ref="B37:C37"/>
    <mergeCell ref="B38:C38"/>
    <mergeCell ref="B39:C39"/>
    <mergeCell ref="B5:C5"/>
    <mergeCell ref="B6:C6"/>
    <mergeCell ref="B7:C7"/>
    <mergeCell ref="B8:C8"/>
    <mergeCell ref="B9:C9"/>
    <mergeCell ref="B10:C10"/>
    <mergeCell ref="B17:C17"/>
    <mergeCell ref="B16:C16"/>
    <mergeCell ref="B11:C11"/>
    <mergeCell ref="B12:C12"/>
    <mergeCell ref="B13:C13"/>
    <mergeCell ref="B14:C14"/>
    <mergeCell ref="B15:C15"/>
    <mergeCell ref="B40:C40"/>
    <mergeCell ref="B30:C30"/>
    <mergeCell ref="B31:C31"/>
    <mergeCell ref="B32:C32"/>
    <mergeCell ref="B33:C33"/>
    <mergeCell ref="B34:C34"/>
    <mergeCell ref="B59:C59"/>
    <mergeCell ref="B61:C61"/>
    <mergeCell ref="B1:E1"/>
    <mergeCell ref="B2:E2"/>
    <mergeCell ref="B45:C45"/>
    <mergeCell ref="B21:D21"/>
    <mergeCell ref="B52:C52"/>
    <mergeCell ref="B54:C54"/>
    <mergeCell ref="B56:C56"/>
    <mergeCell ref="B58:C58"/>
    <mergeCell ref="B44:C44"/>
    <mergeCell ref="B46:C46"/>
    <mergeCell ref="B49:C49"/>
    <mergeCell ref="B50:C50"/>
    <mergeCell ref="B51:C51"/>
    <mergeCell ref="B36:C36"/>
  </mergeCells>
  <dataValidations count="14">
    <dataValidation type="list" allowBlank="1" showInputMessage="1" showErrorMessage="1" sqref="D6" xr:uid="{A7E03421-A2B9-4471-B6A7-2C656D5EC870}">
      <formula1>$F$2:$F$4</formula1>
    </dataValidation>
    <dataValidation type="list" allowBlank="1" showInputMessage="1" showErrorMessage="1" sqref="D5" xr:uid="{F00C1672-0C6D-4C71-99E3-DFE90FEAF717}">
      <formula1>$G$2:$G$11</formula1>
    </dataValidation>
    <dataValidation type="list" allowBlank="1" showInputMessage="1" showErrorMessage="1" sqref="D7 D18" xr:uid="{9EC1166B-BD78-468A-AA99-8A1494ED61C2}">
      <formula1>$H$2:$H$3</formula1>
    </dataValidation>
    <dataValidation type="list" allowBlank="1" showInputMessage="1" showErrorMessage="1" sqref="D8" xr:uid="{CF3280A4-5A19-407F-BCC6-320B5F6DBB32}">
      <formula1>$I$2:$I$3</formula1>
    </dataValidation>
    <dataValidation type="list" allowBlank="1" showInputMessage="1" showErrorMessage="1" sqref="D11" xr:uid="{7FB5805A-EB28-4914-BD59-2056BCAD102C}">
      <formula1>$J$2:$J$3</formula1>
    </dataValidation>
    <dataValidation type="list" allowBlank="1" showInputMessage="1" showErrorMessage="1" sqref="D13" xr:uid="{25FEFAE8-D907-4B15-A0CD-5CBB523CFA88}">
      <formula1>$K$2:$K$3</formula1>
    </dataValidation>
    <dataValidation type="list" allowBlank="1" showInputMessage="1" showErrorMessage="1" sqref="D15" xr:uid="{AD9A4D7E-82BB-4362-B076-A6B2DC969B71}">
      <formula1>$L$2:$L$5</formula1>
    </dataValidation>
    <dataValidation type="list" allowBlank="1" showInputMessage="1" showErrorMessage="1" sqref="D12" xr:uid="{4AD435B9-C098-4B12-8806-D8AE6A8876C0}">
      <formula1>$F$11:$F$41</formula1>
    </dataValidation>
    <dataValidation type="list" allowBlank="1" showInputMessage="1" showErrorMessage="1" sqref="D9:D10" xr:uid="{D9170AF0-2923-4FF3-8F1D-390BA16A9CFC}">
      <formula1>$F$11:$F$53</formula1>
    </dataValidation>
    <dataValidation type="list" allowBlank="1" showInputMessage="1" showErrorMessage="1" sqref="D14" xr:uid="{3994C817-9999-4C1F-B182-176243218AD0}">
      <formula1>$G$12:$G$57</formula1>
    </dataValidation>
    <dataValidation type="list" allowBlank="1" showInputMessage="1" showErrorMessage="1" sqref="B21" xr:uid="{913B2422-F2A3-473E-97B0-8380163C6877}">
      <formula1>$S$68:$S$110</formula1>
    </dataValidation>
    <dataValidation type="list" allowBlank="1" showInputMessage="1" showErrorMessage="1" sqref="B22:D22" xr:uid="{DD2924D4-F170-437D-8F40-554909D1C5ED}">
      <formula1>$S$111:$S$124</formula1>
    </dataValidation>
    <dataValidation type="list" allowBlank="1" showInputMessage="1" showErrorMessage="1" sqref="B23:D23" xr:uid="{A5EBC093-E41B-4BB9-B933-E51148C25B8C}">
      <formula1>$S$125:$S$136</formula1>
    </dataValidation>
    <dataValidation type="list" allowBlank="1" showInputMessage="1" showErrorMessage="1" sqref="B24:D24" xr:uid="{57BCE3FC-C718-4ADB-948E-51927B10D931}">
      <formula1>$S$137:$S$146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63204D-63F9-4CDF-ADCE-F41624BF3ECB}">
  <dimension ref="A1:AI140"/>
  <sheetViews>
    <sheetView topLeftCell="A1048576" workbookViewId="0">
      <selection sqref="A1:XFD1048576"/>
    </sheetView>
  </sheetViews>
  <sheetFormatPr baseColWidth="10" defaultRowHeight="15.75" zeroHeight="1" x14ac:dyDescent="0.25"/>
  <cols>
    <col min="1" max="1" width="1.85546875" style="1" customWidth="1"/>
    <col min="2" max="2" width="67.5703125" style="1" customWidth="1"/>
    <col min="3" max="3" width="19.42578125" style="1" customWidth="1"/>
    <col min="4" max="4" width="16.5703125" style="1" customWidth="1"/>
    <col min="5" max="5" width="16.85546875" style="1" customWidth="1"/>
    <col min="6" max="6" width="12.85546875" style="1" customWidth="1"/>
    <col min="7" max="7" width="16.7109375" style="1" customWidth="1"/>
    <col min="8" max="8" width="3.140625" style="1" customWidth="1"/>
    <col min="9" max="9" width="11.5703125" style="1" customWidth="1"/>
    <col min="10" max="10" width="13.28515625" style="1" customWidth="1"/>
    <col min="11" max="11" width="12.42578125" style="1" bestFit="1" customWidth="1"/>
    <col min="12" max="12" width="38.5703125" style="1" bestFit="1" customWidth="1"/>
    <col min="13" max="13" width="10" style="1" customWidth="1"/>
    <col min="14" max="14" width="3.28515625" style="1" customWidth="1"/>
    <col min="15" max="15" width="6" style="1" customWidth="1"/>
    <col min="16" max="16" width="49.28515625" style="37" customWidth="1"/>
    <col min="17" max="18" width="15.7109375" style="1" customWidth="1"/>
    <col min="19" max="19" width="76.85546875" style="1" customWidth="1"/>
    <col min="20" max="20" width="8.140625" style="1" customWidth="1"/>
    <col min="21" max="23" width="15.7109375" style="1" customWidth="1"/>
    <col min="24" max="24" width="8.28515625" style="1" customWidth="1"/>
    <col min="25" max="25" width="7.42578125" style="1" customWidth="1"/>
    <col min="26" max="39" width="15.7109375" style="1" customWidth="1"/>
    <col min="40" max="144" width="25.85546875" style="1" customWidth="1"/>
    <col min="145" max="16384" width="11.42578125" style="1"/>
  </cols>
  <sheetData>
    <row r="1" spans="2:35" s="36" customFormat="1" ht="18" hidden="1" x14ac:dyDescent="0.25">
      <c r="B1" s="328" t="s">
        <v>226</v>
      </c>
      <c r="C1" s="329"/>
      <c r="D1" s="329"/>
      <c r="E1" s="330"/>
      <c r="H1" s="1"/>
      <c r="P1" s="37"/>
    </row>
    <row r="2" spans="2:35" s="36" customFormat="1" ht="18" hidden="1" x14ac:dyDescent="0.25">
      <c r="B2" s="331" t="s">
        <v>229</v>
      </c>
      <c r="C2" s="332"/>
      <c r="D2" s="332"/>
      <c r="E2" s="333"/>
      <c r="H2" s="1"/>
      <c r="P2" s="37"/>
    </row>
    <row r="3" spans="2:35" s="36" customFormat="1" ht="18" hidden="1" x14ac:dyDescent="0.25">
      <c r="B3" s="334" t="s">
        <v>176</v>
      </c>
      <c r="C3" s="335"/>
      <c r="D3" s="335"/>
      <c r="E3" s="336"/>
      <c r="H3" s="1"/>
      <c r="P3" s="37"/>
    </row>
    <row r="4" spans="2:35" ht="3.75" hidden="1" customHeight="1" x14ac:dyDescent="0.25">
      <c r="G4" s="31"/>
      <c r="I4" s="31"/>
      <c r="J4" s="31"/>
      <c r="K4" s="31"/>
    </row>
    <row r="5" spans="2:35" ht="16.5" hidden="1" thickBot="1" x14ac:dyDescent="0.3">
      <c r="B5" s="35" t="s">
        <v>54</v>
      </c>
      <c r="C5" s="337" t="str">
        <f>+Nómina!D5</f>
        <v>590-Profesores Enseñanza Secundaria</v>
      </c>
      <c r="D5" s="337"/>
      <c r="E5" s="338"/>
      <c r="F5" s="339" t="s">
        <v>194</v>
      </c>
      <c r="G5" s="340"/>
      <c r="I5" s="31"/>
      <c r="J5" s="31"/>
      <c r="K5" s="31"/>
    </row>
    <row r="6" spans="2:35" ht="15.75" hidden="1" customHeight="1" x14ac:dyDescent="0.25">
      <c r="B6" s="35" t="s">
        <v>55</v>
      </c>
      <c r="C6" s="341" t="str">
        <f>+Nómina!D6</f>
        <v>Interino</v>
      </c>
      <c r="D6" s="342"/>
      <c r="E6" s="343" t="s">
        <v>234</v>
      </c>
      <c r="F6" s="31"/>
      <c r="G6" s="31"/>
      <c r="I6" s="31"/>
      <c r="J6" s="31"/>
      <c r="K6" s="31"/>
    </row>
    <row r="7" spans="2:35" hidden="1" x14ac:dyDescent="0.25">
      <c r="B7" s="35" t="s">
        <v>216</v>
      </c>
      <c r="C7" s="345">
        <f>+Nómina!D9</f>
        <v>9</v>
      </c>
      <c r="D7" s="346"/>
      <c r="E7" s="344"/>
      <c r="F7" s="31"/>
      <c r="G7" s="31"/>
      <c r="I7" s="31"/>
      <c r="J7" s="31"/>
      <c r="K7" s="31"/>
    </row>
    <row r="8" spans="2:35" ht="15" hidden="1" customHeight="1" x14ac:dyDescent="0.25">
      <c r="B8" s="35" t="s">
        <v>217</v>
      </c>
      <c r="C8" s="345">
        <f>+Nómina!D10</f>
        <v>9</v>
      </c>
      <c r="D8" s="346"/>
      <c r="E8" s="344"/>
      <c r="F8" s="31"/>
      <c r="G8" s="31"/>
      <c r="I8" s="31"/>
      <c r="J8" s="31"/>
      <c r="K8" s="31"/>
    </row>
    <row r="9" spans="2:35" ht="15" hidden="1" customHeight="1" x14ac:dyDescent="0.25">
      <c r="B9" s="35" t="s">
        <v>212</v>
      </c>
      <c r="C9" s="347" t="str">
        <f>IF(+Nómina!D7="Sí","S","N")</f>
        <v>N</v>
      </c>
      <c r="D9" s="348"/>
      <c r="E9" s="344"/>
      <c r="F9" s="31"/>
      <c r="G9" s="31"/>
      <c r="I9" s="31"/>
      <c r="J9" s="31"/>
      <c r="K9" s="31"/>
    </row>
    <row r="10" spans="2:35" ht="15" hidden="1" customHeight="1" thickBot="1" x14ac:dyDescent="0.3">
      <c r="B10" s="173" t="s">
        <v>56</v>
      </c>
      <c r="C10" s="309"/>
      <c r="D10" s="310"/>
      <c r="E10" s="344"/>
      <c r="F10" s="31"/>
      <c r="G10" s="31"/>
      <c r="I10" s="31"/>
      <c r="J10" s="31"/>
      <c r="K10" s="31"/>
    </row>
    <row r="11" spans="2:35" ht="15" hidden="1" customHeight="1" x14ac:dyDescent="0.25">
      <c r="B11" s="175" t="str">
        <f>IF(AND(C10="Diciembre",C6="Interino"),"Días trabajados entre sep-oct-nov",IF(AND(C10="Junio",C6="Interino"),"Días trabajados entre dic-ene-feb-mar-abr-may",IF(AND(C10="Agosto",C6="Interino"),"Días trabajados entre jun-jul-ago","")))</f>
        <v/>
      </c>
      <c r="C11" s="311"/>
      <c r="D11" s="312"/>
      <c r="E11" s="176" t="str">
        <f>IF(AND(C10="Diciembre",C6="Interino"),"Para cálculo de paga extra de Sueldo Base, Trienios y Complemento destino",IF(AND(C10="Junio",C6="Interino"),"Para cálculo de paga extra de Sueldo Base, Trienios y Complemento destino",IF(AND(C10="Agosto",C6="Interino"),"Para cálculo de paga extra de Sueldo Base, Trienios y Complemento destino","")))</f>
        <v/>
      </c>
      <c r="F11" s="177"/>
      <c r="G11" s="177"/>
      <c r="H11" s="177"/>
      <c r="I11" s="177"/>
      <c r="J11" s="178"/>
      <c r="K11" s="31"/>
    </row>
    <row r="12" spans="2:35" ht="15" hidden="1" customHeight="1" thickBot="1" x14ac:dyDescent="0.3">
      <c r="B12" s="179" t="str">
        <f>IF(AND(C10="Diciembre",C6="Interino"),"Días trabajados entre sep-oct-nov-dic",IF(AND(C10="Junio",C6="Interino"),"Días trabajados entre ene-feb-mar-abr-may-jun",IF(AND(C10="Agosto",C6="Interino"),"Días trabajados entre jul-ago","")))</f>
        <v/>
      </c>
      <c r="C12" s="313"/>
      <c r="D12" s="314"/>
      <c r="E12" s="180" t="str">
        <f>IF(AND(C10="Diciembre",C6="Interino"),"Para cálculo de paga extra de Adicional Complemento destino y Sexenios",IF(AND(C10="Junio",C6="Interino"),"Para cálculo de paga extra de Adicional Complemento destino y Sexenios",IF(AND(C10="Agosto",C6="Interino"),"Para cálculo de paga extra de Adicional Complemento destino y Sexenios","")))</f>
        <v/>
      </c>
      <c r="F12" s="181"/>
      <c r="G12" s="181"/>
      <c r="H12" s="181"/>
      <c r="I12" s="181"/>
      <c r="J12" s="182"/>
      <c r="K12" s="31"/>
    </row>
    <row r="13" spans="2:35" ht="15" hidden="1" customHeight="1" x14ac:dyDescent="0.25">
      <c r="B13" s="174" t="s">
        <v>189</v>
      </c>
      <c r="C13" s="315" t="str">
        <f>IF(+Nómina!D8="No capitalina","S","N")</f>
        <v>N</v>
      </c>
      <c r="D13" s="315"/>
      <c r="E13" s="172"/>
      <c r="F13" s="31"/>
      <c r="G13" s="31"/>
      <c r="I13" s="31"/>
      <c r="J13" s="31"/>
      <c r="K13" s="31"/>
    </row>
    <row r="14" spans="2:35" ht="15" hidden="1" customHeight="1" x14ac:dyDescent="0.25">
      <c r="B14" s="165" t="s">
        <v>220</v>
      </c>
      <c r="C14" s="316">
        <f>+Nómina!D14</f>
        <v>0</v>
      </c>
      <c r="D14" s="317"/>
      <c r="E14" s="168" t="s">
        <v>233</v>
      </c>
      <c r="F14" s="169"/>
      <c r="G14" s="143" t="s">
        <v>225</v>
      </c>
      <c r="H14" s="159"/>
      <c r="I14" s="144"/>
      <c r="J14" s="145"/>
      <c r="K14" s="144"/>
      <c r="L14" s="160"/>
      <c r="M14" s="159"/>
      <c r="N14" s="159"/>
      <c r="O14" s="159"/>
      <c r="P14" s="170"/>
      <c r="Q14" s="159"/>
      <c r="R14" s="159"/>
      <c r="S14" s="159"/>
      <c r="T14" s="159"/>
      <c r="U14" s="159"/>
      <c r="V14" s="159"/>
      <c r="W14" s="159"/>
      <c r="X14" s="159"/>
      <c r="Y14" s="159"/>
      <c r="Z14" s="159"/>
      <c r="AA14" s="159"/>
      <c r="AB14" s="159"/>
      <c r="AC14" s="159"/>
      <c r="AD14" s="159"/>
      <c r="AE14" s="159"/>
      <c r="AF14" s="159"/>
      <c r="AG14" s="159"/>
      <c r="AH14" s="159"/>
      <c r="AI14" s="160"/>
    </row>
    <row r="15" spans="2:35" ht="15" hidden="1" customHeight="1" x14ac:dyDescent="0.2">
      <c r="B15" s="165" t="s">
        <v>221</v>
      </c>
      <c r="C15" s="318">
        <v>1</v>
      </c>
      <c r="D15" s="319"/>
      <c r="E15" s="168" t="s">
        <v>235</v>
      </c>
      <c r="F15" s="169"/>
      <c r="G15" s="143" t="s">
        <v>222</v>
      </c>
      <c r="H15" s="160"/>
      <c r="I15" s="144"/>
      <c r="J15" s="144"/>
      <c r="K15" s="145"/>
      <c r="P15" s="1"/>
    </row>
    <row r="16" spans="2:35" ht="4.5" hidden="1" customHeight="1" x14ac:dyDescent="0.25">
      <c r="B16" s="35"/>
      <c r="C16" s="320"/>
      <c r="D16" s="321"/>
      <c r="F16" s="31"/>
      <c r="G16" s="31"/>
      <c r="I16" s="31"/>
      <c r="J16" s="31"/>
      <c r="K16" s="31"/>
      <c r="Q16" s="136"/>
      <c r="R16" s="136"/>
      <c r="S16" s="136"/>
      <c r="T16" s="136"/>
      <c r="U16" s="136"/>
      <c r="V16" s="136"/>
      <c r="W16" s="136"/>
      <c r="X16" s="137"/>
    </row>
    <row r="17" spans="1:26" ht="15" hidden="1" customHeight="1" x14ac:dyDescent="0.25">
      <c r="B17" s="59" t="str">
        <f>IF(C6=P70,"Funcionario Interino. Estimación % de retención anual de IRPF.","Funcionarios Carrera. Estimación % de retención anual de IRPF.")</f>
        <v>Funcionario Interino. Estimación % de retención anual de IRPF.</v>
      </c>
      <c r="C17" s="322">
        <f>IF(C6="Interino",+'IRPF meses nombrado'!B35,+'IRPF año completo'!B35)</f>
        <v>0.14581899923358613</v>
      </c>
      <c r="D17" s="322"/>
      <c r="E17" s="148" t="str">
        <f>IF(C6=P70,"Jornada Completa. De Enero a Agosto 2020.","Jornada Completa. Año natural")</f>
        <v>Jornada Completa. De Enero a Agosto 2020.</v>
      </c>
      <c r="F17" s="141"/>
      <c r="G17" s="142"/>
      <c r="I17" s="147">
        <f>IF(C6=P70,+'IRPF año completo'!B35+((+'IRPF año completo'!B35-C17)*2),"")</f>
        <v>0.28151003177661793</v>
      </c>
      <c r="J17" s="149" t="str">
        <f>IF(C6=P70,"Estimación de la retención de septiembre a diciembre 2019","")</f>
        <v>Estimación de la retención de septiembre a diciembre 2019</v>
      </c>
      <c r="K17" s="146"/>
      <c r="L17" s="150"/>
    </row>
    <row r="18" spans="1:26" ht="8.25" hidden="1" customHeight="1" x14ac:dyDescent="0.25">
      <c r="B18" s="3"/>
      <c r="C18" s="3"/>
      <c r="D18" s="3"/>
      <c r="F18" s="31"/>
      <c r="G18" s="31"/>
      <c r="I18" s="31"/>
      <c r="J18" s="31"/>
      <c r="K18" s="31"/>
    </row>
    <row r="19" spans="1:26" ht="16.5" hidden="1" customHeight="1" x14ac:dyDescent="0.25">
      <c r="A19" s="31"/>
      <c r="B19" s="31"/>
      <c r="C19" s="31"/>
      <c r="D19" s="323" t="s">
        <v>223</v>
      </c>
      <c r="E19" s="323"/>
      <c r="F19" s="323"/>
      <c r="G19" s="323"/>
      <c r="H19" s="31"/>
      <c r="I19" s="31"/>
      <c r="J19" s="31"/>
      <c r="K19" s="31"/>
    </row>
    <row r="20" spans="1:26" ht="16.5" hidden="1" customHeight="1" x14ac:dyDescent="0.25">
      <c r="A20" s="31"/>
      <c r="B20" s="31"/>
      <c r="C20" s="31"/>
      <c r="D20" s="324" t="s">
        <v>230</v>
      </c>
      <c r="E20" s="325"/>
      <c r="F20" s="326" t="s">
        <v>232</v>
      </c>
      <c r="G20" s="327"/>
      <c r="H20" s="31"/>
      <c r="I20" s="31"/>
      <c r="J20" s="31"/>
      <c r="K20" s="31"/>
    </row>
    <row r="21" spans="1:26" ht="25.5" hidden="1" x14ac:dyDescent="0.25">
      <c r="B21" s="2"/>
      <c r="C21" s="15" t="s">
        <v>213</v>
      </c>
      <c r="D21" s="183" t="s">
        <v>236</v>
      </c>
      <c r="E21" s="184" t="s">
        <v>231</v>
      </c>
      <c r="F21" s="183" t="s">
        <v>236</v>
      </c>
      <c r="G21" s="184" t="s">
        <v>231</v>
      </c>
      <c r="Q21" s="139"/>
      <c r="R21" s="139"/>
      <c r="S21" s="139"/>
      <c r="T21" s="139"/>
      <c r="U21" s="139"/>
      <c r="V21" s="139"/>
      <c r="W21" s="139"/>
      <c r="X21" s="140"/>
      <c r="Y21" s="2"/>
      <c r="Z21" s="2"/>
    </row>
    <row r="22" spans="1:26" ht="15" hidden="1" customHeight="1" x14ac:dyDescent="0.25">
      <c r="A22" s="2"/>
      <c r="B22" s="23" t="s">
        <v>2</v>
      </c>
      <c r="C22" s="21" t="str">
        <f>+Retribuciones!P24</f>
        <v>A1</v>
      </c>
      <c r="D22" s="188">
        <f>+Retribuciones!P26</f>
        <v>1214.3900000000001</v>
      </c>
      <c r="E22" s="161">
        <f t="shared" ref="E22:E34" si="0">+(D22/30)*C$15</f>
        <v>40.479666666666667</v>
      </c>
      <c r="F22" s="188">
        <f>IF(OR(C$5=P$92,C$5=P$93,C$5=P$94,C$5=P$95,C$5=P$96,C$5=P$97,C$5=P$98,C$5=P$99),(D22/18)*C$14,(D22/25)*C$14)</f>
        <v>0</v>
      </c>
      <c r="G22" s="167">
        <f>+(F22/30)*C$15</f>
        <v>0</v>
      </c>
      <c r="I22" s="31"/>
      <c r="J22" s="31"/>
      <c r="K22" s="31"/>
    </row>
    <row r="23" spans="1:26" ht="15" hidden="1" customHeight="1" x14ac:dyDescent="0.25">
      <c r="A23" s="2"/>
      <c r="B23" s="61" t="str">
        <f>CONCATENATE("Trienios (Gr.",C23,"-",INT(+C7/3),")")</f>
        <v>Trienios (Gr.A1-3)</v>
      </c>
      <c r="C23" s="21" t="str">
        <f>+C22</f>
        <v>A1</v>
      </c>
      <c r="D23" s="162">
        <f>Retribuciones!P28*INT($C$7/3)</f>
        <v>140.22</v>
      </c>
      <c r="E23" s="161">
        <f t="shared" si="0"/>
        <v>4.6740000000000004</v>
      </c>
      <c r="F23" s="167">
        <f t="shared" ref="F23:F39" si="1">IF(OR(C$5=P$92,C$5=P$93,C$5=P$94,C$5=P$95,C$5=P$96,C$5=P$97,C$5=P$98,C$5=P$99),(D23/18)*C$14,(D23/25)*C$14)</f>
        <v>0</v>
      </c>
      <c r="G23" s="167">
        <f t="shared" ref="G23:G44" si="2">+(F23/30)*C$15</f>
        <v>0</v>
      </c>
      <c r="I23" s="31"/>
      <c r="J23" s="31"/>
      <c r="K23" s="31"/>
    </row>
    <row r="24" spans="1:26" s="2" customFormat="1" ht="15" hidden="1" customHeight="1" x14ac:dyDescent="0.25">
      <c r="B24" s="23" t="str">
        <f>IF(C13="s","Residencia en isla No Capitalina","Residencia en isla Capitalina")</f>
        <v>Residencia en isla Capitalina</v>
      </c>
      <c r="C24" s="32"/>
      <c r="D24" s="162">
        <f>IF($C$13="s",+Retribuciones!P45,Retribuciones!P44)</f>
        <v>142.66999999999999</v>
      </c>
      <c r="E24" s="161">
        <f t="shared" si="0"/>
        <v>4.7556666666666665</v>
      </c>
      <c r="F24" s="167">
        <f t="shared" si="1"/>
        <v>0</v>
      </c>
      <c r="G24" s="167">
        <f t="shared" si="2"/>
        <v>0</v>
      </c>
      <c r="H24" s="1"/>
      <c r="I24" s="31"/>
      <c r="J24" s="31"/>
      <c r="K24" s="31"/>
      <c r="L24" s="1"/>
      <c r="M24" s="1"/>
      <c r="N24" s="1"/>
      <c r="O24" s="1"/>
      <c r="P24" s="37"/>
    </row>
    <row r="25" spans="1:26" s="2" customFormat="1" hidden="1" x14ac:dyDescent="0.25">
      <c r="B25" s="23" t="str">
        <f>IF(C13="s","Trienio en isla No Capitalina"," ")</f>
        <v xml:space="preserve"> </v>
      </c>
      <c r="C25" s="24"/>
      <c r="D25" s="162">
        <f>IF($C$13="s",Retribuciones!P46*INT($C$7/3),0)</f>
        <v>0</v>
      </c>
      <c r="E25" s="161">
        <f t="shared" si="0"/>
        <v>0</v>
      </c>
      <c r="F25" s="167">
        <f t="shared" si="1"/>
        <v>0</v>
      </c>
      <c r="G25" s="167">
        <f t="shared" si="2"/>
        <v>0</v>
      </c>
      <c r="H25" s="1"/>
      <c r="I25" s="1"/>
      <c r="J25" s="1"/>
      <c r="K25" s="1"/>
      <c r="P25" s="131"/>
    </row>
    <row r="26" spans="1:26" s="2" customFormat="1" hidden="1" x14ac:dyDescent="0.25">
      <c r="B26" s="28" t="s">
        <v>190</v>
      </c>
      <c r="C26" s="33"/>
      <c r="D26" s="162">
        <f>Retribuciones!P32</f>
        <v>672.9</v>
      </c>
      <c r="E26" s="161">
        <f t="shared" si="0"/>
        <v>22.43</v>
      </c>
      <c r="F26" s="167">
        <f t="shared" si="1"/>
        <v>0</v>
      </c>
      <c r="G26" s="167">
        <f t="shared" si="2"/>
        <v>0</v>
      </c>
      <c r="H26" s="1"/>
      <c r="I26" s="1"/>
      <c r="J26" s="1"/>
      <c r="K26" s="1"/>
      <c r="P26" s="131"/>
    </row>
    <row r="27" spans="1:26" s="2" customFormat="1" hidden="1" x14ac:dyDescent="0.25">
      <c r="A27" s="1"/>
      <c r="B27" s="23" t="s">
        <v>191</v>
      </c>
      <c r="C27" s="22">
        <f>+Retribuciones!P25</f>
        <v>24</v>
      </c>
      <c r="D27" s="162">
        <f>Retribuciones!P30</f>
        <v>647.12</v>
      </c>
      <c r="E27" s="161">
        <f t="shared" si="0"/>
        <v>21.570666666666668</v>
      </c>
      <c r="F27" s="167">
        <f t="shared" si="1"/>
        <v>0</v>
      </c>
      <c r="G27" s="167">
        <f t="shared" si="2"/>
        <v>0</v>
      </c>
      <c r="H27" s="1"/>
      <c r="I27" s="1"/>
      <c r="J27" s="1"/>
      <c r="K27" s="1"/>
      <c r="P27" s="131"/>
    </row>
    <row r="28" spans="1:26" s="2" customFormat="1" hidden="1" x14ac:dyDescent="0.25">
      <c r="A28" s="1"/>
      <c r="B28" s="28" t="str">
        <f>IF(AND($C$9="s",C5=P100),"Complemento nivelador maestros 1º y 2º ESO"," ")</f>
        <v xml:space="preserve"> </v>
      </c>
      <c r="C28" s="24"/>
      <c r="D28" s="162">
        <f>IF(AND($C$9="s",C5=Retribuciones!L23),Retribuciones!AV80,0)</f>
        <v>0</v>
      </c>
      <c r="E28" s="161">
        <f t="shared" si="0"/>
        <v>0</v>
      </c>
      <c r="F28" s="167">
        <f t="shared" si="1"/>
        <v>0</v>
      </c>
      <c r="G28" s="167">
        <f t="shared" si="2"/>
        <v>0</v>
      </c>
      <c r="H28" s="1"/>
      <c r="I28" s="1"/>
      <c r="J28" s="1"/>
      <c r="K28" s="1"/>
      <c r="P28" s="131"/>
    </row>
    <row r="29" spans="1:26" s="2" customFormat="1" hidden="1" x14ac:dyDescent="0.25">
      <c r="A29" s="1"/>
      <c r="B29" s="28" t="str">
        <f>IF(AND(C8&gt;5,C8&lt;12),"1º Sexenio",IF(AND(C8&gt;11,C8&lt;18),"2 Sexenios consolidados",IF(AND(C8&gt;17,C8&lt;24),"3 Sexenios consolidados",IF(AND(C8&gt;23,C8&lt;30),"4 Sexenios consolidados",IF(C8&gt;29,"5 Sexenios consolidados","")))))</f>
        <v>1º Sexenio</v>
      </c>
      <c r="C29" s="24"/>
      <c r="D29" s="162">
        <f>IF(AND(C8&gt;5,C8&lt;12),Retribuciones!P34,IF(AND(C8&gt;11,C8&lt;18),Retribuciones!E36,IF(AND(C8&gt;17,C8&lt;24),Retribuciones!E38,IF(AND(C8&gt;23,C8&lt;30),Retribuciones!E40,IF(C8&gt;29,Retribuciones!E42,0)))))</f>
        <v>55</v>
      </c>
      <c r="E29" s="161">
        <f t="shared" si="0"/>
        <v>1.8333333333333333</v>
      </c>
      <c r="F29" s="167">
        <f t="shared" si="1"/>
        <v>0</v>
      </c>
      <c r="G29" s="167">
        <f t="shared" si="2"/>
        <v>0</v>
      </c>
      <c r="H29" s="1"/>
      <c r="I29" s="1"/>
      <c r="J29" s="1"/>
      <c r="K29" s="1"/>
      <c r="P29" s="131"/>
    </row>
    <row r="30" spans="1:26" s="2" customFormat="1" hidden="1" x14ac:dyDescent="0.25">
      <c r="A30" s="1"/>
      <c r="B30" s="28"/>
      <c r="C30" s="24"/>
      <c r="D30" s="162"/>
      <c r="E30" s="161">
        <f t="shared" si="0"/>
        <v>0</v>
      </c>
      <c r="F30" s="167">
        <f t="shared" si="1"/>
        <v>0</v>
      </c>
      <c r="G30" s="167">
        <f t="shared" si="2"/>
        <v>0</v>
      </c>
      <c r="H30" s="1"/>
      <c r="I30" s="1"/>
      <c r="J30" s="1"/>
      <c r="K30" s="1"/>
      <c r="P30" s="131"/>
    </row>
    <row r="31" spans="1:26" s="2" customFormat="1" hidden="1" x14ac:dyDescent="0.25">
      <c r="A31" s="1"/>
      <c r="B31" s="28"/>
      <c r="C31" s="24"/>
      <c r="D31" s="162"/>
      <c r="E31" s="161">
        <f t="shared" si="0"/>
        <v>0</v>
      </c>
      <c r="F31" s="167">
        <f t="shared" si="1"/>
        <v>0</v>
      </c>
      <c r="G31" s="167">
        <f t="shared" si="2"/>
        <v>0</v>
      </c>
      <c r="H31" s="1"/>
      <c r="I31" s="1"/>
      <c r="J31" s="1"/>
      <c r="K31" s="1"/>
      <c r="P31" s="131"/>
    </row>
    <row r="32" spans="1:26" s="2" customFormat="1" hidden="1" x14ac:dyDescent="0.25">
      <c r="A32" s="1"/>
      <c r="B32" s="28"/>
      <c r="C32" s="24"/>
      <c r="D32" s="162"/>
      <c r="E32" s="161">
        <f t="shared" si="0"/>
        <v>0</v>
      </c>
      <c r="F32" s="167">
        <f t="shared" si="1"/>
        <v>0</v>
      </c>
      <c r="G32" s="167">
        <f t="shared" si="2"/>
        <v>0</v>
      </c>
      <c r="H32" s="1"/>
      <c r="I32" s="1"/>
      <c r="J32" s="1"/>
      <c r="K32" s="1"/>
      <c r="P32" s="131"/>
    </row>
    <row r="33" spans="2:9" hidden="1" x14ac:dyDescent="0.25">
      <c r="B33" s="28"/>
      <c r="C33" s="24"/>
      <c r="D33" s="162"/>
      <c r="E33" s="161">
        <f t="shared" si="0"/>
        <v>0</v>
      </c>
      <c r="F33" s="167">
        <f t="shared" si="1"/>
        <v>0</v>
      </c>
      <c r="G33" s="167">
        <f t="shared" si="2"/>
        <v>0</v>
      </c>
    </row>
    <row r="34" spans="2:9" hidden="1" x14ac:dyDescent="0.25">
      <c r="B34" s="28"/>
      <c r="C34" s="24"/>
      <c r="D34" s="162"/>
      <c r="E34" s="161">
        <f t="shared" si="0"/>
        <v>0</v>
      </c>
      <c r="F34" s="167">
        <f t="shared" si="1"/>
        <v>0</v>
      </c>
      <c r="G34" s="167">
        <f t="shared" si="2"/>
        <v>0</v>
      </c>
    </row>
    <row r="35" spans="2:9" hidden="1" x14ac:dyDescent="0.25">
      <c r="B35" s="28" t="str">
        <f>IF($C$10="junio","Paga extra junio, Sueldo Base",IF(AND($C$10="diciembre", C6="Interino"),"Paga extra diciembre (sep a dic), Sueldo Base",IF($C$10="agosto","Liquidación Paga extra diciembre, Sueldo Base",IF(AND($C$10="diciembre", C6="Carrera (anterior a 1 enero 2011)"),"Paga extra diciembre, Sueldo Base",IF(AND($C$10="diciembre", C6="Carrera (posterior a 1 enero 2011)"),"Paga extra diciembre, Sueldo Base"," ")))))</f>
        <v xml:space="preserve"> </v>
      </c>
      <c r="C35" s="24"/>
      <c r="D35" s="162">
        <f>IF($C$10="junio",Retribuciones!P27,IF(AND($C$10="diciembre",C6="Interino"),Retribuciones!P27/2,IF(AND($C$10="agosto",C6="Interino"),Retribuciones!P27/2,IF(AND($C$10="diciembre",C6="Carrera (anterior a 1 enero 2011)"),Retribuciones!P27,IF(AND($C$10="diciembre",C6="Carrera (posterior a 1 enero 2011)"),Retribuciones!P27,0)))))</f>
        <v>0</v>
      </c>
      <c r="E35" s="161">
        <f>IF($C10="Diciembre",(+$D35/90)*$C11,IF($C10="Junio",(+$D35/180)*$C11,IF($C10="Agosto",(+$D35/60)*$C11,0)))</f>
        <v>0</v>
      </c>
      <c r="F35" s="167">
        <f t="shared" si="1"/>
        <v>0</v>
      </c>
      <c r="G35" s="167">
        <f>IF($C$10="Diciembre",(+$F35/90)*$C$11,IF($C$10="Junio",(+$F35/180)*$C$11,IF($C$10="Agosto",(+$F35/60)*$C$11,0)))</f>
        <v>0</v>
      </c>
    </row>
    <row r="36" spans="2:9" ht="15" hidden="1" customHeight="1" x14ac:dyDescent="0.25">
      <c r="B36" s="28" t="str">
        <f>IF($C$10="junio","Paga extra junio, Trienios",IF(AND($C$10="diciembre",C6="Interino"),"Paga extra diciembre (Sep a dic), Trienios",IF($C$10="agosto","Liquidación Paga extra diciembre, Trienios",IF(AND($C$10="diciembre",C6="Carrera (anterior a 1 enero 2011)"),"Paga extra diciembre, Trienios",IF(AND($C$10="diciembre",C6="Carrera (posterior a 1 enero 2011)"),"Paga extra diciembre, Trienios"," ")))))</f>
        <v xml:space="preserve"> </v>
      </c>
      <c r="C36" s="24"/>
      <c r="D36" s="162">
        <f>IF($C$10="junio",Retribuciones!P29*INT($C$7/3),IF(AND($C$10="diciembre",C6="Interino"),(Retribuciones!P29*INT($C$7/3))/2,IF(AND($C$10="agosto",C6="Interino"),(Retribuciones!P29*INT($C$7/3))/2,IF(AND($C$10="diciembre",C6="Carrera (anterior a 1 enero 2011)"),(Retribuciones!P29*INT($C$7/3)),IF(AND($C$10="diciembre",C6="Carrera (posterior a 1 enero 2011)"),(Retribuciones!P29*INT($C$7/3)),0)))))</f>
        <v>0</v>
      </c>
      <c r="E36" s="161">
        <f>IF(C10="Diciembre",(+D36/90)*C11,IF(C10="Junio",(+D36/180)*C11,IF(C10="Agosto",(+D36/60)*C11,0)))</f>
        <v>0</v>
      </c>
      <c r="F36" s="167">
        <f t="shared" si="1"/>
        <v>0</v>
      </c>
      <c r="G36" s="167">
        <f>IF($C$10="Diciembre",(+$F36/90)*$C$11,IF($C$10="Junio",(+$F36/180)*$C$11,IF($C$10="Agosto",(+$F36/60)*$C$11,0)))</f>
        <v>0</v>
      </c>
    </row>
    <row r="37" spans="2:9" ht="15" hidden="1" customHeight="1" x14ac:dyDescent="0.25">
      <c r="B37" s="28" t="str">
        <f>IF($C$10="junio","Paga extra junio, Complemento Destino",IF(AND($C$10="diciembre",C6="Interino"),"Paga extra diciembre (sep a dic), Complemento Destino",IF($C$10="agosto","Liquidación Paga extra diciembre, CompLemento Destino",IF(AND($C$10="diciembre",C6="Carrera (anterior a 1 enero 2011)"),"Paga extra diciembre, CompLemento Destino",IF(AND($C$10="diciembre",C6="Carrera (posterior a 1 enero 2011)"),"Paga extra diciembre, CompLemento Destino"," ")))))</f>
        <v xml:space="preserve"> </v>
      </c>
      <c r="C37" s="24"/>
      <c r="D37" s="162">
        <f>IF($C$10="junio",Retribuciones!P31,IF(AND($C$10="diciembre",C6="Interino"),Retribuciones!P31/2,IF(AND($C$10="agosto",C6="Interino"),Retribuciones!P31/2,IF(AND($C$10="diciembre",C6="Carrera (anterior a 1 enero 2011)"),Retribuciones!P31,IF(AND($C$10="diciembre",C6="Carrera (posterior a 1 enero 2011)"),Retribuciones!P31,0)))))</f>
        <v>0</v>
      </c>
      <c r="E37" s="161">
        <f>IF(C10="Diciembre",(+D37/90)*C11,IF(C10="Junio",(+D37/180)*C11,IF(C10="Agosto",(+D37/60)*C11,0)))</f>
        <v>0</v>
      </c>
      <c r="F37" s="167">
        <f t="shared" si="1"/>
        <v>0</v>
      </c>
      <c r="G37" s="167">
        <f>IF($C$10="Diciembre",(+$F37/90)*$C$11,IF($C$10="Junio",(+$F37/180)*$C$11,IF($C$10="Agosto",(+$F37/60)*$C$11,0)))</f>
        <v>0</v>
      </c>
    </row>
    <row r="38" spans="2:9" ht="15" hidden="1" customHeight="1" x14ac:dyDescent="0.25">
      <c r="B38" s="28" t="str">
        <f>IF($C$10="junio","Adicional, Complemento específico junio",IF(AND($C$10="diciembre",C6="Interino"),"Adicional, Complemento específico diciembre (sep a dic)",IF($C$10="agosto","Liquidación Adicional, Complemento específico diciembre",IF(AND($C$10="diciembre",C6="Carrera (anterior a 1 enero 2011)"),"Adicional, Complemento específico diciembre",IF(AND($C$10="diciembre",C6="Carrera (posterior a 1 enero 2011)"),"Adicional, Complemento específico diciembre"," ")))))</f>
        <v xml:space="preserve"> </v>
      </c>
      <c r="C38" s="24"/>
      <c r="D38" s="162">
        <f>IF(AND($C$9="s",C5=Retribuciones!M23),IF($C$10="junio",((Retribuciones!P32+Retribuciones!AV80)*78%),IF($C$10="diciembre",((Retribuciones!P32+Retribuciones!AV80)*78%),0)),IF($C$10="junio",((Retribuciones!P32)*78%),IF(AND($C$10="diciembre",C6="Interino"),((((Retribuciones!P32)*78%))/6)*4,IF(AND($C$10="agosto",C6="Interino"),((Retribuciones!P32)*78%)/3,IF(AND($C$10="diciembre",C6="Carrera (anterior a 1 enero 2011)"),(((Retribuciones!P32)*78%)),IF(AND($C$10="diciembre",C6="Carrera (posterior a 1 enero 2011)"),(((Retribuciones!P32)*78%)),0))))))</f>
        <v>0</v>
      </c>
      <c r="E38" s="161">
        <f>IF($C$10="Diciembre",(+D38/120)*$C$12,IF($C$10="Junio",(+D38/180)*C$12,IF($C$10="Agosto",(+D38/60)*C$12,0)))</f>
        <v>0</v>
      </c>
      <c r="F38" s="167">
        <f t="shared" si="1"/>
        <v>0</v>
      </c>
      <c r="G38" s="167">
        <f>IF($C$10="Diciembre",(+F38/120)*$C$12,IF($C$10="Junio",(+F38/180)*C$12,IF($C$10="Agosto",(+F38/60)*C$12,0)))</f>
        <v>0</v>
      </c>
    </row>
    <row r="39" spans="2:9" ht="15" hidden="1" customHeight="1" x14ac:dyDescent="0.25">
      <c r="B39" s="28" t="str">
        <f>IF($C$10="junio","Paga extra Sexenios",IF(AND($C$10="diciembre",C6="Interino"),"Paga extra Sexenios (sep a dic)",IF($C$10="agosto","Liquidación Paga extra Sexenios",IF(AND($C$10="diciembre",C6="Carrera (anterior a 1 enero 2011)"),"Paga extra Sexenios",IF(AND($C$10="diciembre",C6="Carrera (posterior a 1 enero 2011)"),"Paga extra Sexenios"," ")))))</f>
        <v xml:space="preserve"> </v>
      </c>
      <c r="C39" s="104"/>
      <c r="D39" s="162">
        <f>IF($C$10="junio",D29*0.78,IF(AND($C$10="diciembre",C6="Interino"),(((D29*0.78)/6)*4),IF(AND($C$10="agosto",C6="Interino"),(((D29*0.78)/6)*2),IF(AND($C$10="diciembre",C6="Carrera (anterior a 1 enero 2011)"),D29*0.78,IF(AND($C$10="diciembre",C6="Carrera (posterior a 1 enero 2011)"),D29*0.78,0)))))</f>
        <v>0</v>
      </c>
      <c r="E39" s="161">
        <f>IF($C$10="Diciembre",(+D39/120)*$C$12,IF($C$10="Junio",(+D39/180)*C$12,IF($C$10="Agosto",(+D39/60)*C$12,0)))</f>
        <v>0</v>
      </c>
      <c r="F39" s="167">
        <f t="shared" si="1"/>
        <v>0</v>
      </c>
      <c r="G39" s="167">
        <f>IF($C$10="Diciembre",(+F39/120)*$C$12,IF($C$10="Junio",(+F39/180)*C$12,IF($C$10="Agosto",(+F39/60)*C$12,0)))</f>
        <v>0</v>
      </c>
    </row>
    <row r="40" spans="2:9" ht="15" hidden="1" customHeight="1" x14ac:dyDescent="0.25">
      <c r="B40" s="306" t="s">
        <v>185</v>
      </c>
      <c r="C40" s="307"/>
      <c r="D40" s="163">
        <f>IF(B40=S126,T126,IF(B40=S127,T127,IF(B40=S128,T128,IF(B40=S129,T129,IF(B40=S130,T130,IF(B40=S131,T131,IF(B40=S132,T132,IF(B40=S133,T134,IF(B40=S134,T133,0)))))))))</f>
        <v>0</v>
      </c>
      <c r="E40" s="161">
        <f>+(D40/30)*C$15</f>
        <v>0</v>
      </c>
      <c r="F40" s="167">
        <f>+D40</f>
        <v>0</v>
      </c>
      <c r="G40" s="167">
        <f t="shared" si="2"/>
        <v>0</v>
      </c>
    </row>
    <row r="41" spans="2:9" ht="15" hidden="1" customHeight="1" x14ac:dyDescent="0.25">
      <c r="B41" s="306" t="s">
        <v>188</v>
      </c>
      <c r="C41" s="307"/>
      <c r="D41" s="162">
        <f>IF(B41=S69,T69,IF(B41=S70,T70,IF(B41=S71,T71,IF(B41=S72,T72,IF(B41=S73,T73,IF(B41=S74,T74,IF(B41=S75,T75,IF(B41=S76,T76,IF(B41=S76,T76,IF(B41=S77,T77,IF(B41=S78,T78,IF(B41=S79,T79,IF(B41=S80,T80,IF(B41=S81,T81,IF(B41=S82,T82,IF(B41=S83,T83,IF(B41=S84,T84,IF(B41=S85,T85,IF(B41=S86,T86,0)))))))))))))))))))</f>
        <v>0</v>
      </c>
      <c r="E41" s="161">
        <f>+(D41/30)*C$15</f>
        <v>0</v>
      </c>
      <c r="F41" s="167">
        <f t="shared" ref="F41:F44" si="3">+D41</f>
        <v>0</v>
      </c>
      <c r="G41" s="167">
        <f t="shared" si="2"/>
        <v>0</v>
      </c>
    </row>
    <row r="42" spans="2:9" ht="15" hidden="1" customHeight="1" x14ac:dyDescent="0.25">
      <c r="B42" s="306" t="s">
        <v>187</v>
      </c>
      <c r="C42" s="307"/>
      <c r="D42" s="162">
        <f>IF(B42=S88,T88,IF(B42=S89,T89,IF(B42=S90,T90,IF(B42=S91,T91,IF(B42=S92,T92,IF(B42=S93,T93,IF(B42=S94,T94,IF(B42=S95,T95,IF(B42=S96,T96,IF(B42=S97,T97,IF(B42=S98,T98,IF(B42=S99,T99,IF(B42=S100,T100,IF(B42=S101,T101,IF(B42=S102,T102,IF(B42=S103,T103,IF(B42=S104,T104,IF(B42=S105,T105,IF(B42=S106,T106,IF(B42=S107,T107,0))))))))))))))))))))</f>
        <v>0</v>
      </c>
      <c r="E42" s="161">
        <f>+(D42/30)*C$15</f>
        <v>0</v>
      </c>
      <c r="F42" s="167">
        <f t="shared" si="3"/>
        <v>0</v>
      </c>
      <c r="G42" s="167">
        <f t="shared" si="2"/>
        <v>0</v>
      </c>
    </row>
    <row r="43" spans="2:9" ht="15" hidden="1" customHeight="1" x14ac:dyDescent="0.25">
      <c r="B43" s="306" t="s">
        <v>186</v>
      </c>
      <c r="C43" s="307"/>
      <c r="D43" s="162">
        <f>IF(B43=S109,T109,IF(B43=S110,T110,IF(B43=S111,T111,IF(B43=S112,T112,IF(B43=S113,T113,IF(B43=S114,T114,IF(B43=S115,T115,IF(B43=S116,T116,IF(B43=S117,T117,IF(B43=S118,T118,IF(B43=S119,T119,IF(B43=S120,T120,IF(B43=S121,T121,IF(B43=S122,T122,IF(B43=S123,T123,IF(B43=S124,T124,0))))))))))))))))</f>
        <v>0</v>
      </c>
      <c r="E43" s="161">
        <f>+(D43/30)*C$15</f>
        <v>0</v>
      </c>
      <c r="F43" s="167">
        <f t="shared" si="3"/>
        <v>0</v>
      </c>
      <c r="G43" s="167">
        <f t="shared" si="2"/>
        <v>0</v>
      </c>
    </row>
    <row r="44" spans="2:9" ht="15" hidden="1" customHeight="1" x14ac:dyDescent="0.25">
      <c r="B44" s="306" t="s">
        <v>211</v>
      </c>
      <c r="C44" s="307"/>
      <c r="D44" s="164"/>
      <c r="E44" s="161">
        <f>+(D44/30)*C$15</f>
        <v>0</v>
      </c>
      <c r="F44" s="167">
        <f t="shared" si="3"/>
        <v>0</v>
      </c>
      <c r="G44" s="167">
        <f t="shared" si="2"/>
        <v>0</v>
      </c>
    </row>
    <row r="45" spans="2:9" ht="15" hidden="1" customHeight="1" x14ac:dyDescent="0.25">
      <c r="B45" s="189" t="s">
        <v>45</v>
      </c>
      <c r="C45" s="5"/>
      <c r="D45" s="6">
        <f>SUM(D22:D44)</f>
        <v>2872.3</v>
      </c>
      <c r="E45" s="6">
        <f t="shared" ref="E45:G45" si="4">SUM(E22:E44)</f>
        <v>95.743333333333339</v>
      </c>
      <c r="F45" s="6">
        <f t="shared" si="4"/>
        <v>0</v>
      </c>
      <c r="G45" s="6">
        <f t="shared" si="4"/>
        <v>0</v>
      </c>
    </row>
    <row r="46" spans="2:9" ht="15" hidden="1" customHeight="1" x14ac:dyDescent="0.25">
      <c r="B46" s="11"/>
      <c r="C46" s="11"/>
      <c r="D46" s="11"/>
    </row>
    <row r="47" spans="2:9" ht="15" hidden="1" customHeight="1" x14ac:dyDescent="0.25">
      <c r="B47" s="155" t="s">
        <v>51</v>
      </c>
      <c r="C47" s="308" t="s">
        <v>121</v>
      </c>
      <c r="D47" s="308"/>
      <c r="E47" s="308"/>
      <c r="F47" s="308"/>
      <c r="G47" s="308"/>
      <c r="I47" s="60" t="s">
        <v>122</v>
      </c>
    </row>
    <row r="48" spans="2:9" ht="15" hidden="1" customHeight="1" x14ac:dyDescent="0.25">
      <c r="B48" s="7" t="s">
        <v>210</v>
      </c>
      <c r="C48" s="24"/>
      <c r="D48" s="12">
        <v>-6</v>
      </c>
      <c r="E48" s="18">
        <f t="shared" ref="E48:E51" si="5">+(D48/30)*C$15</f>
        <v>-0.2</v>
      </c>
      <c r="F48" s="18">
        <f t="shared" ref="F48:F49" si="6">IF(OR(C$5=P$92,C$5=P$93,C$5=P$94,C$5=P$96,C$5=P$97,C$5=P$98),(D48/20)*C$14,(D48/25)*C$14)</f>
        <v>0</v>
      </c>
      <c r="G48" s="18">
        <f t="shared" ref="G48:G51" si="7">+(F48/30)*C$15</f>
        <v>0</v>
      </c>
      <c r="I48" s="57"/>
    </row>
    <row r="49" spans="1:25" ht="15" hidden="1" customHeight="1" x14ac:dyDescent="0.25">
      <c r="B49" s="16" t="str">
        <f>IF(C6=P68,"Derechos Pasivos","Contingencias Comunes: 4,7% y 23,6%")</f>
        <v>Contingencias Comunes: 4,7% y 23,6%</v>
      </c>
      <c r="C49" s="30" t="str">
        <f>IF(C6=P68," ","4,70%")</f>
        <v>4,70%</v>
      </c>
      <c r="D49" s="12">
        <f>IF(OR(C6="interino",C6=P69),-D62*4.7%,IF($C$10="junio",-2*Retribuciones!P48,IF($C$10="diciembre",-2*Retribuciones!P48,-Retribuciones!P48)))</f>
        <v>-151.06285666666665</v>
      </c>
      <c r="E49" s="17">
        <f t="shared" si="5"/>
        <v>-5.0354285555555549</v>
      </c>
      <c r="F49" s="17">
        <f t="shared" si="6"/>
        <v>0</v>
      </c>
      <c r="G49" s="17">
        <f t="shared" si="7"/>
        <v>0</v>
      </c>
      <c r="I49" s="63">
        <f>IF(OR(C6="interino",C6=P69),ROUND(-D62*23.6%,2)," ")</f>
        <v>-758.53</v>
      </c>
    </row>
    <row r="50" spans="1:25" hidden="1" x14ac:dyDescent="0.25">
      <c r="B50" s="7" t="str">
        <f>IF(OR(C6=P68,C6=P69),"MUFACE","Cuota Desempleo: 1,55% y 5,5%")</f>
        <v>Cuota Desempleo: 1,55% y 5,5%</v>
      </c>
      <c r="C50" s="30" t="str">
        <f>IF(C6=P70,"1,55%"," ")</f>
        <v>1,55%</v>
      </c>
      <c r="D50" s="12">
        <f>IF(C6="interino",-D62*1.55%,IF($C$10="junio",-2*Retribuciones!P47,IF($C$10="diciembre",-2*Retribuciones!P47,-Retribuciones!P47)))</f>
        <v>-49.818601666666659</v>
      </c>
      <c r="E50" s="17">
        <f t="shared" si="5"/>
        <v>-1.6606200555555553</v>
      </c>
      <c r="F50" s="17">
        <f>IF(OR(C$5=P$92,C$5=P$93,C$5=P$94,C$5=P$96,C$5=P$97,C$5=P$98),(D50/20)*C$14,(D50/25)*C$14)</f>
        <v>0</v>
      </c>
      <c r="G50" s="17">
        <f t="shared" si="7"/>
        <v>0</v>
      </c>
      <c r="I50" s="63">
        <f>IF(C6="interino",ROUND(-D62*5.5%,2)," ")</f>
        <v>-176.78</v>
      </c>
    </row>
    <row r="51" spans="1:25" ht="15" hidden="1" customHeight="1" x14ac:dyDescent="0.25">
      <c r="B51" s="7" t="str">
        <f>IF(C6=P70,"Cuota Formación Profesional: 0,10% y 0,60%",IF(C6=P69,"Coeficiente reductor: 0,009 y 0,046"," "))</f>
        <v>Cuota Formación Profesional: 0,10% y 0,60%</v>
      </c>
      <c r="C51" s="62" t="str">
        <f>IF(C6=P70,"0,10%",IF(C6=P69,0.009," "))</f>
        <v>0,10%</v>
      </c>
      <c r="D51" s="12">
        <f>IF(C6="interino",ROUND(-D62*0.1%,2),IF(C6=P69,0.009*-(+D49+I49),0))</f>
        <v>-3.21</v>
      </c>
      <c r="E51" s="17">
        <f t="shared" si="5"/>
        <v>-0.107</v>
      </c>
      <c r="F51" s="17">
        <f>IF(OR(C$5=P$92,C$5=P$93,C$5=P$94,C$5=P$96,C$5=P$97,C$5=P$98),(D51/20)*C$14,(D51/25)*C$14)</f>
        <v>0</v>
      </c>
      <c r="G51" s="17">
        <f t="shared" si="7"/>
        <v>0</v>
      </c>
      <c r="I51" s="63">
        <f>IF(C6="interino",ROUND(-D62*0.6%,2),IF(C6=P69,ROUND(0.046*-(+D49+I49),2)," "))</f>
        <v>-19.28</v>
      </c>
    </row>
    <row r="52" spans="1:25" ht="15" hidden="1" customHeight="1" x14ac:dyDescent="0.25">
      <c r="B52" s="158" t="s">
        <v>50</v>
      </c>
      <c r="C52" s="156"/>
      <c r="D52" s="157">
        <f>+C17</f>
        <v>0.14581899923358613</v>
      </c>
      <c r="E52" s="166"/>
      <c r="F52" s="166"/>
      <c r="G52" s="166"/>
      <c r="I52" s="63"/>
    </row>
    <row r="53" spans="1:25" hidden="1" x14ac:dyDescent="0.25">
      <c r="B53" s="58" t="s">
        <v>224</v>
      </c>
      <c r="D53" s="19">
        <f>-(+D45)*D52</f>
        <v>-418.83591149862946</v>
      </c>
      <c r="E53" s="17"/>
      <c r="F53" s="17"/>
      <c r="G53" s="17"/>
      <c r="I53" s="57"/>
      <c r="J53" s="151">
        <f>+I17</f>
        <v>0.28151003177661793</v>
      </c>
      <c r="K53" s="152">
        <f>IF(C6="Interino",-J53*D45,"")</f>
        <v>-808.58126427197976</v>
      </c>
      <c r="L53" s="153" t="str">
        <f>IF(C6="Interino","Retención mensual de septiembre 2019","")</f>
        <v>Retención mensual de septiembre 2019</v>
      </c>
      <c r="M53" s="154"/>
      <c r="Q53" s="136"/>
      <c r="R53" s="136"/>
      <c r="S53" s="136"/>
      <c r="T53" s="136"/>
      <c r="U53" s="136"/>
      <c r="V53" s="136"/>
      <c r="W53" s="136"/>
      <c r="X53" s="137"/>
    </row>
    <row r="54" spans="1:25" ht="15" hidden="1" customHeight="1" x14ac:dyDescent="0.25">
      <c r="A54" s="2"/>
      <c r="B54" s="2"/>
      <c r="C54" s="2"/>
      <c r="D54" s="2"/>
      <c r="E54" s="2"/>
    </row>
    <row r="55" spans="1:25" hidden="1" x14ac:dyDescent="0.25">
      <c r="B55" s="189" t="s">
        <v>46</v>
      </c>
      <c r="C55" s="5"/>
      <c r="D55" s="20">
        <f>SUM(D48:D53)</f>
        <v>-628.78155083272918</v>
      </c>
      <c r="E55" s="20">
        <f>SUM(E48:E53)</f>
        <v>-7.0030486111111108</v>
      </c>
      <c r="F55" s="20">
        <f t="shared" ref="F55:G55" si="8">SUM(F48:F53)</f>
        <v>0</v>
      </c>
      <c r="G55" s="20">
        <f t="shared" si="8"/>
        <v>0</v>
      </c>
      <c r="K55" s="171">
        <f>IF(C6="Interino",SUM(D48:D51)+K53,"")</f>
        <v>-1018.6727226053131</v>
      </c>
    </row>
    <row r="56" spans="1:25" ht="15" hidden="1" customHeight="1" x14ac:dyDescent="0.25">
      <c r="D56" s="2"/>
      <c r="J56" s="2"/>
    </row>
    <row r="57" spans="1:25" ht="15" hidden="1" customHeight="1" x14ac:dyDescent="0.25">
      <c r="B57" s="8" t="s">
        <v>192</v>
      </c>
      <c r="C57" s="9"/>
      <c r="D57" s="10">
        <f>+D45+D55</f>
        <v>2243.5184491672708</v>
      </c>
      <c r="E57" s="10">
        <f t="shared" ref="E57:G57" si="9">+E45+E55</f>
        <v>88.740284722222228</v>
      </c>
      <c r="F57" s="10">
        <f t="shared" si="9"/>
        <v>0</v>
      </c>
      <c r="G57" s="10">
        <f t="shared" si="9"/>
        <v>0</v>
      </c>
      <c r="K57" s="10">
        <f>IF(C6="Interino",+D45+K55,"")</f>
        <v>1853.6272773946871</v>
      </c>
      <c r="Q57" s="136"/>
      <c r="R57" s="136"/>
      <c r="S57" s="136"/>
      <c r="T57" s="136"/>
      <c r="U57" s="136"/>
      <c r="V57" s="136"/>
      <c r="W57" s="136"/>
      <c r="X57" s="137"/>
    </row>
    <row r="58" spans="1:25" ht="3.75" hidden="1" customHeight="1" x14ac:dyDescent="0.25">
      <c r="A58" s="25"/>
      <c r="B58" s="25"/>
      <c r="C58" s="25"/>
      <c r="D58" s="25"/>
    </row>
    <row r="59" spans="1:25" hidden="1" x14ac:dyDescent="0.25">
      <c r="A59" s="25"/>
      <c r="B59" s="257" t="s">
        <v>193</v>
      </c>
      <c r="C59" s="258"/>
      <c r="D59" s="26">
        <f>+Retribuciones!P54+((D40+D41+D42+D43+D44)*12)</f>
        <v>38569.24</v>
      </c>
      <c r="Q59" s="136"/>
      <c r="R59" s="136"/>
      <c r="S59" s="136"/>
      <c r="T59" s="136"/>
      <c r="U59" s="136"/>
      <c r="V59" s="136"/>
      <c r="W59" s="136"/>
      <c r="X59" s="136"/>
      <c r="Y59" s="137"/>
    </row>
    <row r="60" spans="1:25" hidden="1" x14ac:dyDescent="0.25">
      <c r="A60" s="25"/>
      <c r="B60" s="257" t="str">
        <f>IF(C6="carrera (anterior a 1 enero 2011)","Derechos Pasivos, MUFACE y Cuota sindical",IF(C6="Carrera (posterior a 1 enero 2011)","MUFACE, Seguridad Social (contingentes comunes) y Cuota sindical.","Seguridad Social y Cuota sindical"))</f>
        <v>Seguridad Social y Cuota sindical</v>
      </c>
      <c r="C60" s="258"/>
      <c r="D60" s="26">
        <f>IF(C6="carrera (anterior a 1 enero 2011)",(-(Retribuciones!P47+Retribuciones!P48)*14)+(D48*12),IF(C6="Carrera (posterior a 1 enero 2011)",((D49+D51)*12)+(D50*14),-(D59*6.35%)-(D48*12)))</f>
        <v>-2377.1467399999997</v>
      </c>
    </row>
    <row r="61" spans="1:25" hidden="1" x14ac:dyDescent="0.25">
      <c r="A61" s="25"/>
      <c r="B61" s="25"/>
      <c r="C61" s="25"/>
      <c r="D61" s="25"/>
    </row>
    <row r="62" spans="1:25" hidden="1" x14ac:dyDescent="0.25">
      <c r="A62" s="25"/>
      <c r="B62" s="189" t="str">
        <f>IF(OR(C6="interino",C6=P69),"Base cotización Seguridad Sociar"," ")</f>
        <v>Base cotización Seguridad Sociar</v>
      </c>
      <c r="C62" s="190"/>
      <c r="D62" s="26">
        <f>IF(OR(C6="interino",C6=P69),+D59/12," ")</f>
        <v>3214.103333333333</v>
      </c>
    </row>
    <row r="63" spans="1:25" ht="12.95" hidden="1" customHeight="1" x14ac:dyDescent="0.25">
      <c r="A63" s="25"/>
      <c r="B63" s="25"/>
      <c r="C63" s="25"/>
      <c r="D63" s="25"/>
    </row>
    <row r="64" spans="1:25" ht="18" hidden="1" customHeight="1" x14ac:dyDescent="0.25">
      <c r="B64" s="303" t="s">
        <v>176</v>
      </c>
      <c r="C64" s="304"/>
      <c r="D64" s="305"/>
      <c r="N64" s="2"/>
    </row>
    <row r="65" spans="13:20" ht="18" hidden="1" customHeight="1" x14ac:dyDescent="0.25"/>
    <row r="67" spans="13:20" ht="12.95" hidden="1" customHeight="1" x14ac:dyDescent="0.25">
      <c r="M67" s="2"/>
    </row>
    <row r="68" spans="13:20" ht="12.95" hidden="1" customHeight="1" x14ac:dyDescent="0.25">
      <c r="N68" s="1">
        <v>0</v>
      </c>
      <c r="P68" s="37" t="s">
        <v>131</v>
      </c>
      <c r="S68" s="130" t="str">
        <f>+Retribuciones!AU24</f>
        <v>Complemento Especial Responsabilidad:</v>
      </c>
      <c r="T68" s="39"/>
    </row>
    <row r="69" spans="13:20" ht="12.95" hidden="1" customHeight="1" x14ac:dyDescent="0.25">
      <c r="N69" s="1">
        <v>1</v>
      </c>
      <c r="P69" s="37" t="s">
        <v>132</v>
      </c>
      <c r="S69" s="126" t="str">
        <f>+Retribuciones!AU25</f>
        <v>Director/ra CEIP, CEP, CEEE, EEI, CEPA. Coordinador CER. Tipo A (Más de 35 Unidades)</v>
      </c>
      <c r="T69" s="102">
        <f>+Retribuciones!AV25</f>
        <v>557.31999999999994</v>
      </c>
    </row>
    <row r="70" spans="13:20" ht="12.95" hidden="1" customHeight="1" x14ac:dyDescent="0.25">
      <c r="N70" s="1">
        <v>2</v>
      </c>
      <c r="P70" s="37" t="s">
        <v>57</v>
      </c>
      <c r="S70" s="126" t="str">
        <f>+Retribuciones!AU26</f>
        <v>Director/ra CEIP, CEP, CEEE, EEI, CEPA. Coordinador CER. Tipo B (27 a 35 Unidades)</v>
      </c>
      <c r="T70" s="102">
        <f>+Retribuciones!AV26</f>
        <v>508.49</v>
      </c>
    </row>
    <row r="71" spans="13:20" ht="12.95" hidden="1" customHeight="1" x14ac:dyDescent="0.25">
      <c r="M71" s="1" t="s">
        <v>47</v>
      </c>
      <c r="N71" s="1">
        <v>3</v>
      </c>
      <c r="S71" s="126" t="str">
        <f>+Retribuciones!AU27</f>
        <v>Director/ra CEIP, CEP, CEEE, EEI, CEPA. Coordinador CER. Tipo C (18 a 26 Unidades)</v>
      </c>
      <c r="T71" s="102">
        <f>+Retribuciones!AV27</f>
        <v>383.46999999999997</v>
      </c>
    </row>
    <row r="72" spans="13:20" ht="12.95" hidden="1" customHeight="1" x14ac:dyDescent="0.25">
      <c r="M72" s="1" t="s">
        <v>43</v>
      </c>
      <c r="N72" s="1">
        <v>4</v>
      </c>
      <c r="S72" s="127" t="str">
        <f>+Retribuciones!AU28</f>
        <v>Director/ra CEIP, CEP, CEEE, EEI, CEPA. Coordinador CER. Tipo D (9 a 17 Unidades)</v>
      </c>
      <c r="T72" s="102">
        <f>+Retribuciones!AV28</f>
        <v>291.77999999999997</v>
      </c>
    </row>
    <row r="73" spans="13:20" ht="12.95" hidden="1" customHeight="1" x14ac:dyDescent="0.25">
      <c r="N73" s="1">
        <v>5</v>
      </c>
      <c r="P73" s="38" t="s">
        <v>60</v>
      </c>
      <c r="S73" s="127" t="str">
        <f>+Retribuciones!AU29</f>
        <v>Director/ra CEIP, CEP, CEEE, EEI, CEPA. Coordinador CER. Tipo E (6 a 8 Unidades)</v>
      </c>
      <c r="T73" s="102">
        <f>+Retribuciones!AV29</f>
        <v>197.73</v>
      </c>
    </row>
    <row r="74" spans="13:20" ht="12.95" hidden="1" customHeight="1" x14ac:dyDescent="0.25">
      <c r="M74" s="1" t="s">
        <v>43</v>
      </c>
      <c r="N74" s="1">
        <v>6</v>
      </c>
      <c r="P74" s="38" t="s">
        <v>195</v>
      </c>
      <c r="S74" s="127" t="str">
        <f>+Retribuciones!AU30</f>
        <v>Director/ra CEIP, CEP, CEEE, EEI, CEPA. Coordinador CER. Tipo F (1 a 5 Unidades)</v>
      </c>
      <c r="T74" s="102">
        <f>+Retribuciones!AV30</f>
        <v>123.9</v>
      </c>
    </row>
    <row r="75" spans="13:20" ht="12.95" hidden="1" customHeight="1" x14ac:dyDescent="0.25">
      <c r="M75" s="1" t="s">
        <v>48</v>
      </c>
      <c r="N75" s="1">
        <v>7</v>
      </c>
      <c r="P75" s="38" t="s">
        <v>58</v>
      </c>
      <c r="S75" s="126" t="str">
        <f>+Retribuciones!AU31</f>
        <v>J. Estudios. CEIP, CEP, CEEE, EEI, CEPA. Tipo A (Más de 35 Unidades)</v>
      </c>
      <c r="T75" s="102">
        <f>+Retribuciones!AV31</f>
        <v>228.67999999999998</v>
      </c>
    </row>
    <row r="76" spans="13:20" ht="12.95" hidden="1" customHeight="1" x14ac:dyDescent="0.25">
      <c r="M76" s="1" t="s">
        <v>49</v>
      </c>
      <c r="N76" s="1">
        <v>8</v>
      </c>
      <c r="P76" s="38" t="s">
        <v>59</v>
      </c>
      <c r="S76" s="126" t="str">
        <f>+Retribuciones!AU32</f>
        <v>J. Estudios. CEIP, CEP, CEEE, EEI, CEPA. Tipo B (27 a 35 Unidades)</v>
      </c>
      <c r="T76" s="102">
        <f>+Retribuciones!AV32</f>
        <v>219.17</v>
      </c>
    </row>
    <row r="77" spans="13:20" ht="12.95" hidden="1" customHeight="1" x14ac:dyDescent="0.25">
      <c r="M77" s="1" t="s">
        <v>135</v>
      </c>
      <c r="N77" s="1">
        <v>9</v>
      </c>
      <c r="P77" s="38" t="s">
        <v>196</v>
      </c>
      <c r="S77" s="127" t="str">
        <f>+Retribuciones!AU33</f>
        <v>J. Estudios. CEIP, CEP, CEEE, EEI, CEPA. Tipo C (18 a 26 Unidades)</v>
      </c>
      <c r="T77" s="102">
        <f>+Retribuciones!AV33</f>
        <v>204.85</v>
      </c>
    </row>
    <row r="78" spans="13:20" ht="12.95" hidden="1" customHeight="1" x14ac:dyDescent="0.25">
      <c r="N78" s="1">
        <v>10</v>
      </c>
      <c r="P78" s="38" t="s">
        <v>61</v>
      </c>
      <c r="S78" s="126" t="str">
        <f>+Retribuciones!AU34</f>
        <v>J. Estudios. CEIP, CEP, CEEE, EEI, CEPA. Tipo D (9 a 17 Unidades)</v>
      </c>
      <c r="T78" s="102">
        <f>+Retribuciones!AV34</f>
        <v>159.60999999999999</v>
      </c>
    </row>
    <row r="79" spans="13:20" ht="12.95" hidden="1" customHeight="1" x14ac:dyDescent="0.25">
      <c r="N79" s="1">
        <v>11</v>
      </c>
      <c r="P79" s="38" t="s">
        <v>197</v>
      </c>
      <c r="S79" s="127" t="str">
        <f>+Retribuciones!AU35</f>
        <v>Secretario/a. CEIP, CEP, CEEE, EEI, CEPA. Tipo A (Más de 35 Unidades)</v>
      </c>
      <c r="T79" s="102">
        <f>+Retribuciones!AV35</f>
        <v>228.67999999999998</v>
      </c>
    </row>
    <row r="80" spans="13:20" ht="12.95" hidden="1" customHeight="1" x14ac:dyDescent="0.25">
      <c r="N80" s="1">
        <v>12</v>
      </c>
      <c r="P80" s="38" t="s">
        <v>198</v>
      </c>
      <c r="S80" s="126" t="str">
        <f>+Retribuciones!AU36</f>
        <v>Secretario/a. CEIP, CEP, CEEE, EEI, CEPA. Tipo B (27 a 35 Unidades)</v>
      </c>
      <c r="T80" s="102">
        <f>+Retribuciones!AV36</f>
        <v>219.17</v>
      </c>
    </row>
    <row r="81" spans="14:20" ht="12.95" hidden="1" customHeight="1" x14ac:dyDescent="0.25">
      <c r="N81" s="1">
        <v>13</v>
      </c>
      <c r="P81" s="38" t="s">
        <v>199</v>
      </c>
      <c r="S81" s="126" t="str">
        <f>+Retribuciones!AU37</f>
        <v>Secretario/a. CEIP, CEP, CEEE, EEI, CEPA. Tipo C (18 a 26 Unidades)</v>
      </c>
      <c r="T81" s="102">
        <f>+Retribuciones!AV37</f>
        <v>204.85</v>
      </c>
    </row>
    <row r="82" spans="14:20" ht="12.95" hidden="1" customHeight="1" x14ac:dyDescent="0.25">
      <c r="N82" s="1">
        <v>14</v>
      </c>
      <c r="P82" s="38" t="s">
        <v>200</v>
      </c>
      <c r="S82" s="126" t="str">
        <f>+Retribuciones!AU38</f>
        <v>Secretario/a. CEIP, CEP, CEEE, EEI, CEPA. Tipo D (9 a 17 Unidades)</v>
      </c>
      <c r="T82" s="102">
        <f>+Retribuciones!AV38</f>
        <v>159.60999999999999</v>
      </c>
    </row>
    <row r="83" spans="14:20" ht="12.95" hidden="1" customHeight="1" x14ac:dyDescent="0.25">
      <c r="N83" s="1">
        <v>15</v>
      </c>
      <c r="P83" s="38" t="s">
        <v>62</v>
      </c>
      <c r="S83" s="126" t="str">
        <f>+Retribuciones!AU39</f>
        <v>Secretario/a. CEIP, CEP, CEEE, EEI, CEPA. Tipo E (6 a 8 Unidades)</v>
      </c>
      <c r="T83" s="102">
        <f>+Retribuciones!AV39</f>
        <v>107.21000000000001</v>
      </c>
    </row>
    <row r="84" spans="14:20" ht="12.95" hidden="1" customHeight="1" x14ac:dyDescent="0.25">
      <c r="N84" s="1">
        <v>16</v>
      </c>
      <c r="P84" s="38" t="s">
        <v>201</v>
      </c>
      <c r="S84" s="126" t="str">
        <f>+Retribuciones!AU40</f>
        <v>Vicedirector/ra. CEIP, CEP, CEEE, EEI Tipo A (Más de 35 Unidades)</v>
      </c>
      <c r="T84" s="102">
        <f>+Retribuciones!AV40</f>
        <v>228.67999999999998</v>
      </c>
    </row>
    <row r="85" spans="14:20" ht="12.95" hidden="1" customHeight="1" x14ac:dyDescent="0.25">
      <c r="N85" s="1">
        <v>17</v>
      </c>
      <c r="P85" s="38" t="s">
        <v>63</v>
      </c>
      <c r="S85" s="126" t="str">
        <f>+Retribuciones!AU41</f>
        <v>Vicedirector/ra. CEIP, CEP, CEEE, EEI Tipo B (27 a 35 Unidades)</v>
      </c>
      <c r="T85" s="102">
        <f>+Retribuciones!AV41</f>
        <v>219.17</v>
      </c>
    </row>
    <row r="86" spans="14:20" ht="12.95" hidden="1" customHeight="1" x14ac:dyDescent="0.25">
      <c r="N86" s="1">
        <v>18</v>
      </c>
      <c r="P86" s="38" t="s">
        <v>64</v>
      </c>
      <c r="S86" s="127" t="str">
        <f>+Retribuciones!AU42</f>
        <v>Vicedirector/ra. CEIP, CEP, CEEE, EEI Tipo C (18 a 26 Unidades)</v>
      </c>
      <c r="T86" s="102">
        <f>+Retribuciones!AV42</f>
        <v>204.85</v>
      </c>
    </row>
    <row r="87" spans="14:20" ht="12.95" hidden="1" customHeight="1" x14ac:dyDescent="0.25">
      <c r="N87" s="1">
        <v>19</v>
      </c>
      <c r="P87" s="38" t="s">
        <v>202</v>
      </c>
      <c r="S87" s="130" t="e">
        <f>+Retribuciones!#REF!</f>
        <v>#REF!</v>
      </c>
      <c r="T87" s="39"/>
    </row>
    <row r="88" spans="14:20" ht="12.95" hidden="1" customHeight="1" x14ac:dyDescent="0.25">
      <c r="N88" s="1">
        <v>20</v>
      </c>
      <c r="P88" s="38" t="s">
        <v>65</v>
      </c>
      <c r="S88" s="128" t="str">
        <f>+Retribuciones!AU43</f>
        <v>Director/ra IES, CEO, EA. Centro Tipo A (1650 o más Alumnos)</v>
      </c>
      <c r="T88" s="102">
        <f>+Retribuciones!AV43</f>
        <v>700.47</v>
      </c>
    </row>
    <row r="89" spans="14:20" ht="12.95" hidden="1" customHeight="1" x14ac:dyDescent="0.25">
      <c r="N89" s="1">
        <v>21</v>
      </c>
      <c r="P89" s="38" t="s">
        <v>203</v>
      </c>
      <c r="S89" s="128" t="str">
        <f>+Retribuciones!AU44</f>
        <v>Director/ra IES, CEO, EA. Centro Tipo B (de 901 a 1649 Alumnos)</v>
      </c>
      <c r="T89" s="102">
        <f>+Retribuciones!AV44</f>
        <v>623.09</v>
      </c>
    </row>
    <row r="90" spans="14:20" ht="12.95" hidden="1" customHeight="1" x14ac:dyDescent="0.25">
      <c r="N90" s="1">
        <v>22</v>
      </c>
      <c r="S90" s="128" t="str">
        <f>+Retribuciones!AU45</f>
        <v>Director/ra IES, CEO, EA. Centro Tipo C (de 581 a 900 Alumnos)</v>
      </c>
      <c r="T90" s="102">
        <f>+Retribuciones!AV45</f>
        <v>561.12</v>
      </c>
    </row>
    <row r="91" spans="14:20" ht="12.95" hidden="1" customHeight="1" x14ac:dyDescent="0.25">
      <c r="N91" s="1">
        <v>23</v>
      </c>
      <c r="S91" s="128" t="str">
        <f>+Retribuciones!AU46</f>
        <v>Director/ra IES, CEO, EA. Centro Tipo D (hasta 580 Alumnos)</v>
      </c>
      <c r="T91" s="102">
        <f>+Retribuciones!AV46</f>
        <v>511.08</v>
      </c>
    </row>
    <row r="92" spans="14:20" ht="12.95" hidden="1" customHeight="1" x14ac:dyDescent="0.25">
      <c r="N92" s="1">
        <v>24</v>
      </c>
      <c r="P92" s="37" t="s">
        <v>71</v>
      </c>
      <c r="S92" s="128" t="str">
        <f>+Retribuciones!AU47</f>
        <v>Jefe Estudios IES, CEO, EA. Centro Tipo A (1650 o más Alumnos)</v>
      </c>
      <c r="T92" s="102">
        <f>+Retribuciones!AV47</f>
        <v>344.34999999999997</v>
      </c>
    </row>
    <row r="93" spans="14:20" ht="12.95" hidden="1" customHeight="1" x14ac:dyDescent="0.25">
      <c r="N93" s="1">
        <v>25</v>
      </c>
      <c r="P93" s="37" t="s">
        <v>72</v>
      </c>
      <c r="S93" s="129" t="str">
        <f>+Retribuciones!AU48</f>
        <v>Jefe Estudios IES, CEO, EA. Centro Tipo B (de 901 a 1649 Alumnos)</v>
      </c>
      <c r="T93" s="102">
        <f>+Retribuciones!AV48</f>
        <v>330.03999999999996</v>
      </c>
    </row>
    <row r="94" spans="14:20" ht="12.95" hidden="1" customHeight="1" x14ac:dyDescent="0.25">
      <c r="N94" s="1">
        <v>26</v>
      </c>
      <c r="P94" s="37" t="s">
        <v>73</v>
      </c>
      <c r="S94" s="129" t="str">
        <f>+Retribuciones!AU49</f>
        <v>Jefe Estudios IES, CEO, EA. Centro Tipo C (de 581 a 900 Alumnos)</v>
      </c>
      <c r="T94" s="102">
        <f>+Retribuciones!AV49</f>
        <v>256.17</v>
      </c>
    </row>
    <row r="95" spans="14:20" ht="12.95" hidden="1" customHeight="1" x14ac:dyDescent="0.25">
      <c r="N95" s="1">
        <v>27</v>
      </c>
      <c r="P95" s="37" t="s">
        <v>74</v>
      </c>
      <c r="S95" s="129" t="str">
        <f>+Retribuciones!AU50</f>
        <v>Jefe Estudios IES, CEO, EA. Centro Tipo D (hasta 580 Alumnos)</v>
      </c>
      <c r="T95" s="102">
        <f>+Retribuciones!AV50</f>
        <v>204.95999999999998</v>
      </c>
    </row>
    <row r="96" spans="14:20" ht="12.95" hidden="1" customHeight="1" x14ac:dyDescent="0.25">
      <c r="N96" s="1">
        <v>28</v>
      </c>
      <c r="P96" s="37" t="s">
        <v>75</v>
      </c>
      <c r="S96" s="129" t="str">
        <f>+Retribuciones!AU51</f>
        <v>Secretario/a IES, CEO, EA. Centro Tipo A (1650 o más Alumnos)</v>
      </c>
      <c r="T96" s="102">
        <f>+Retribuciones!AV51</f>
        <v>344.34999999999997</v>
      </c>
    </row>
    <row r="97" spans="13:20" ht="12.95" hidden="1" customHeight="1" x14ac:dyDescent="0.25">
      <c r="N97" s="1">
        <v>29</v>
      </c>
      <c r="P97" s="37" t="s">
        <v>76</v>
      </c>
      <c r="S97" s="129" t="str">
        <f>+Retribuciones!AU52</f>
        <v>Secretario/a IES, CEO, EA. Centro Tipo B (de 901 a 1649 Alumnos)</v>
      </c>
      <c r="T97" s="102">
        <f>+Retribuciones!AV52</f>
        <v>330.03999999999996</v>
      </c>
    </row>
    <row r="98" spans="13:20" ht="12.95" hidden="1" customHeight="1" x14ac:dyDescent="0.25">
      <c r="N98" s="1">
        <v>30</v>
      </c>
      <c r="P98" s="37" t="s">
        <v>77</v>
      </c>
      <c r="S98" s="128" t="str">
        <f>+Retribuciones!AU53</f>
        <v>Secretario/a IES, CEO, EA. Centro Tipo C (de 581 a 900 Alumnos)</v>
      </c>
      <c r="T98" s="102">
        <f>+Retribuciones!AV53</f>
        <v>256.17</v>
      </c>
    </row>
    <row r="99" spans="13:20" ht="12.95" hidden="1" customHeight="1" x14ac:dyDescent="0.25">
      <c r="N99" s="1">
        <v>31</v>
      </c>
      <c r="P99" s="37" t="s">
        <v>78</v>
      </c>
      <c r="S99" s="128" t="str">
        <f>+Retribuciones!AU54</f>
        <v>Secretario/a IES, CEO, EA. Centro Tipo D (hasta 580 Alumnos)</v>
      </c>
      <c r="T99" s="102">
        <f>+Retribuciones!AV54</f>
        <v>204.95999999999998</v>
      </c>
    </row>
    <row r="100" spans="13:20" ht="12.95" hidden="1" customHeight="1" x14ac:dyDescent="0.25">
      <c r="N100" s="1">
        <v>32</v>
      </c>
      <c r="P100" s="37" t="s">
        <v>79</v>
      </c>
      <c r="S100" s="128" t="str">
        <f>+Retribuciones!AU55</f>
        <v>Vicedirector/ra IES, CEO, EA. Centro Tipo A (1650 o más Alumnos)</v>
      </c>
      <c r="T100" s="102">
        <f>+Retribuciones!AV55</f>
        <v>344.34999999999997</v>
      </c>
    </row>
    <row r="101" spans="13:20" ht="12.95" hidden="1" customHeight="1" x14ac:dyDescent="0.25">
      <c r="N101" s="1">
        <v>33</v>
      </c>
      <c r="S101" s="128" t="str">
        <f>+Retribuciones!AU56</f>
        <v>Vicedirector/ra IES, CEO, EA. Centro Tipo B (de 901 a 1649 Alumnos)</v>
      </c>
      <c r="T101" s="102">
        <f>+Retribuciones!AV56</f>
        <v>330.03999999999996</v>
      </c>
    </row>
    <row r="102" spans="13:20" ht="12.95" hidden="1" customHeight="1" x14ac:dyDescent="0.25">
      <c r="N102" s="1">
        <v>34</v>
      </c>
      <c r="P102" s="37" t="s">
        <v>218</v>
      </c>
      <c r="S102" s="128" t="str">
        <f>+Retribuciones!AU57</f>
        <v>Vicedirector/ra IES, CEO, EA. Centro Tipo C (de 581 a 900 Alumnos)</v>
      </c>
      <c r="T102" s="102">
        <f>+Retribuciones!AV57</f>
        <v>256.17</v>
      </c>
    </row>
    <row r="103" spans="13:20" ht="12.95" hidden="1" customHeight="1" x14ac:dyDescent="0.25">
      <c r="N103" s="1">
        <v>35</v>
      </c>
      <c r="P103" s="37" t="s">
        <v>219</v>
      </c>
      <c r="S103" s="128" t="str">
        <f>+Retribuciones!AU58</f>
        <v>Vicedirector/ra IES, CEO, EA. Centro Tipo D (hasta 580 Alumnos)</v>
      </c>
      <c r="T103" s="102">
        <f>+Retribuciones!AV58</f>
        <v>204.95999999999998</v>
      </c>
    </row>
    <row r="104" spans="13:20" ht="12.95" hidden="1" customHeight="1" x14ac:dyDescent="0.25">
      <c r="N104" s="1">
        <v>36</v>
      </c>
      <c r="S104" s="128" t="str">
        <f>+Retribuciones!AU59</f>
        <v>Jefe Estudios Adjunto IES, CEO, EA. Centro Tipo A (1650 o más Alumnos)</v>
      </c>
      <c r="T104" s="102">
        <f>+Retribuciones!AV59</f>
        <v>172.19</v>
      </c>
    </row>
    <row r="105" spans="13:20" ht="12.95" hidden="1" customHeight="1" x14ac:dyDescent="0.25">
      <c r="N105" s="1">
        <v>37</v>
      </c>
      <c r="S105" s="129" t="str">
        <f>+Retribuciones!AU60</f>
        <v>Jefe Estudios Adjunto IES, CEO, EA. Centro Tipo B (de 901 a 1649 Alumnos)</v>
      </c>
      <c r="T105" s="102">
        <f>+Retribuciones!AV60</f>
        <v>165.04999999999998</v>
      </c>
    </row>
    <row r="106" spans="13:20" ht="12.95" hidden="1" customHeight="1" x14ac:dyDescent="0.25">
      <c r="N106" s="1">
        <v>38</v>
      </c>
      <c r="S106" s="129" t="str">
        <f>+Retribuciones!AU61</f>
        <v>Jefe Estudios Adjunto IES, CEO, EA. Centro Tipo C (de 581 a 900 Alumnos)</v>
      </c>
      <c r="T106" s="102">
        <f>+Retribuciones!AV61</f>
        <v>128.13</v>
      </c>
    </row>
    <row r="107" spans="13:20" ht="12.95" hidden="1" customHeight="1" x14ac:dyDescent="0.25">
      <c r="N107" s="1">
        <v>39</v>
      </c>
      <c r="S107" s="129" t="str">
        <f>+Retribuciones!AU62</f>
        <v>Jefe Estudios Adjunto IES, CEO, EA. Centro Tipo D (hasta 580 Alumnos)</v>
      </c>
      <c r="T107" s="102">
        <f>+Retribuciones!AV62</f>
        <v>102.53</v>
      </c>
    </row>
    <row r="108" spans="13:20" ht="12.95" hidden="1" customHeight="1" x14ac:dyDescent="0.25">
      <c r="N108" s="1">
        <v>40</v>
      </c>
      <c r="S108" s="130" t="str">
        <f>+Retribuciones!AU69</f>
        <v>Otros complementos: Jefe departamento, Encargado comedor, Maestros en Residencia, otros</v>
      </c>
      <c r="T108" s="39"/>
    </row>
    <row r="109" spans="13:20" ht="12.95" hidden="1" customHeight="1" x14ac:dyDescent="0.25">
      <c r="N109" s="1">
        <v>41</v>
      </c>
      <c r="S109" s="14" t="str">
        <f>+Retribuciones!AU71</f>
        <v>Encargado/a Comedor Gestión Directa. Módulo Hasta 100 comensales.</v>
      </c>
      <c r="T109" s="98">
        <f>+Retribuciones!AV71</f>
        <v>140.66</v>
      </c>
    </row>
    <row r="110" spans="13:20" ht="12.95" hidden="1" customHeight="1" x14ac:dyDescent="0.25">
      <c r="N110" s="1">
        <v>42</v>
      </c>
      <c r="S110" s="14" t="str">
        <f>+Retribuciones!AU72</f>
        <v>Encargado/a Comedor Gestión Directa. Módulo De 101 a 300 comensales.</v>
      </c>
      <c r="T110" s="98">
        <f>+Retribuciones!AV72</f>
        <v>148.32999999999998</v>
      </c>
    </row>
    <row r="111" spans="13:20" ht="12.95" hidden="1" customHeight="1" x14ac:dyDescent="0.25">
      <c r="M111" s="29"/>
      <c r="N111" s="1">
        <v>43</v>
      </c>
      <c r="S111" s="14" t="str">
        <f>+Retribuciones!AU73</f>
        <v>Encargado/a Comedor Gestión Directa. Módulo Más de 300 comensales.</v>
      </c>
      <c r="T111" s="98">
        <f>+Retribuciones!AV73</f>
        <v>159.22999999999999</v>
      </c>
    </row>
    <row r="112" spans="13:20" ht="12.95" hidden="1" customHeight="1" x14ac:dyDescent="0.25">
      <c r="N112" s="1">
        <v>44</v>
      </c>
      <c r="S112" s="14" t="str">
        <f>+Retribuciones!AU74</f>
        <v>Encargado/a Comedor Gestión Contratada. Módulo Hasta 100 comensales.</v>
      </c>
      <c r="T112" s="98">
        <f>+Retribuciones!AV74</f>
        <v>122.80000000000001</v>
      </c>
    </row>
    <row r="113" spans="14:20" ht="12.95" hidden="1" customHeight="1" x14ac:dyDescent="0.25">
      <c r="N113" s="1">
        <v>45</v>
      </c>
      <c r="S113" s="13" t="str">
        <f>+Retribuciones!AU75</f>
        <v>Encargado/a Comedor Gestión Contratada. Módulo De 101 a 300 comensales.</v>
      </c>
      <c r="T113" s="98">
        <f>+Retribuciones!AV75</f>
        <v>129.66</v>
      </c>
    </row>
    <row r="114" spans="14:20" ht="12.95" hidden="1" customHeight="1" x14ac:dyDescent="0.25">
      <c r="N114" s="1">
        <v>46</v>
      </c>
      <c r="S114" s="13" t="str">
        <f>+Retribuciones!AU76</f>
        <v>Encargado/a Comedor Gestión Contratada. Módulo Más de 300 comensales.</v>
      </c>
      <c r="T114" s="98">
        <f>+Retribuciones!AV76</f>
        <v>137.03</v>
      </c>
    </row>
    <row r="115" spans="14:20" ht="12.95" hidden="1" customHeight="1" x14ac:dyDescent="0.25">
      <c r="N115" s="1">
        <v>47</v>
      </c>
      <c r="S115" s="14" t="str">
        <f>+Retribuciones!AU63</f>
        <v>Director de Centros de Profesores</v>
      </c>
      <c r="T115" s="102">
        <f>+Retribuciones!AV63</f>
        <v>367.13</v>
      </c>
    </row>
    <row r="116" spans="14:20" ht="12.95" hidden="1" customHeight="1" x14ac:dyDescent="0.25">
      <c r="N116" s="1">
        <v>48</v>
      </c>
      <c r="S116" s="14" t="str">
        <f>+Retribuciones!AU64</f>
        <v>Director de Residencia Escolar Permanente</v>
      </c>
      <c r="T116" s="102">
        <f>+Retribuciones!AV64</f>
        <v>340.71</v>
      </c>
    </row>
    <row r="117" spans="14:20" ht="12.95" hidden="1" customHeight="1" x14ac:dyDescent="0.25">
      <c r="N117" s="1">
        <v>49</v>
      </c>
      <c r="S117" s="13" t="str">
        <f>+Retribuciones!AU65</f>
        <v>Director de Residencia Escolar</v>
      </c>
      <c r="T117" s="102">
        <f>+Retribuciones!AV65</f>
        <v>177.35999999999999</v>
      </c>
    </row>
    <row r="118" spans="14:20" ht="12.95" hidden="1" customHeight="1" x14ac:dyDescent="0.25">
      <c r="N118" s="1">
        <v>50</v>
      </c>
      <c r="S118" s="13" t="str">
        <f>+Retribuciones!AU77</f>
        <v>Maestros de Ocio con Residencia Permanente</v>
      </c>
      <c r="T118" s="103">
        <f>+Retribuciones!AV77</f>
        <v>153.87</v>
      </c>
    </row>
    <row r="119" spans="14:20" ht="12.95" hidden="1" customHeight="1" x14ac:dyDescent="0.25">
      <c r="N119" s="1">
        <v>51</v>
      </c>
      <c r="S119" s="13" t="str">
        <f>+Retribuciones!AU66</f>
        <v>Coordinador EOEP</v>
      </c>
      <c r="T119" s="102">
        <f>+Retribuciones!AV66</f>
        <v>106.82000000000001</v>
      </c>
    </row>
    <row r="120" spans="14:20" ht="12.95" hidden="1" customHeight="1" x14ac:dyDescent="0.25">
      <c r="N120" s="1">
        <v>52</v>
      </c>
      <c r="S120" s="13" t="str">
        <f>+Retribuciones!AU67</f>
        <v>Coordinador de Servicios Centrales. Tipo A1 (A)</v>
      </c>
      <c r="T120" s="105">
        <f>+Retribuciones!AV67</f>
        <v>415.71999999999997</v>
      </c>
    </row>
    <row r="121" spans="14:20" ht="12.95" hidden="1" customHeight="1" x14ac:dyDescent="0.25">
      <c r="N121" s="1">
        <v>53</v>
      </c>
      <c r="S121" s="13" t="str">
        <f>+Retribuciones!AU68</f>
        <v>Coordinador de Servicios Centrales. Tipo A2 (B)</v>
      </c>
      <c r="T121" s="105">
        <f>+Retribuciones!AV68</f>
        <v>236.16</v>
      </c>
    </row>
    <row r="122" spans="14:20" ht="12.95" hidden="1" customHeight="1" x14ac:dyDescent="0.25">
      <c r="N122" s="1">
        <v>54</v>
      </c>
      <c r="S122" s="13" t="str">
        <f>+Retribuciones!AU78</f>
        <v>Hora Lectiva Complementaria, Refuerzo Educativo. Grupo A1</v>
      </c>
      <c r="T122" s="105">
        <f>+Retribuciones!AV78</f>
        <v>20.84</v>
      </c>
    </row>
    <row r="123" spans="14:20" ht="12.95" hidden="1" customHeight="1" x14ac:dyDescent="0.25">
      <c r="N123" s="1">
        <v>55</v>
      </c>
      <c r="S123" s="13" t="str">
        <f>+Retribuciones!AU79</f>
        <v>Hora Lectiva Complementaria, Refuerzo Educativo. Grupo A2</v>
      </c>
      <c r="T123" s="105">
        <f>+Retribuciones!AV79</f>
        <v>17.73</v>
      </c>
    </row>
    <row r="124" spans="14:20" ht="12.95" hidden="1" customHeight="1" x14ac:dyDescent="0.25">
      <c r="N124" s="1">
        <v>56</v>
      </c>
      <c r="S124" s="14" t="str">
        <f>+Retribuciones!AU80</f>
        <v>Maestros de Primero y Segundo de Enseñanza Secundaria Obligatoria</v>
      </c>
      <c r="T124" s="105">
        <f>+Retribuciones!AV80</f>
        <v>80.850000000000009</v>
      </c>
    </row>
    <row r="125" spans="14:20" ht="12.95" hidden="1" customHeight="1" x14ac:dyDescent="0.25">
      <c r="N125" s="1">
        <v>57</v>
      </c>
      <c r="S125" s="130" t="str">
        <f>+Retribuciones!AU81</f>
        <v>Otros complementos: Tutoría, AICLE/PILE, Coordinación</v>
      </c>
      <c r="T125" s="39"/>
    </row>
    <row r="126" spans="14:20" ht="12.95" hidden="1" customHeight="1" x14ac:dyDescent="0.25">
      <c r="N126" s="1">
        <v>58</v>
      </c>
      <c r="S126" s="14" t="str">
        <f>+Retribuciones!AU70</f>
        <v>Jefe de Departamento</v>
      </c>
      <c r="T126" s="105">
        <f>+Retribuciones!AV70</f>
        <v>71.52000000000001</v>
      </c>
    </row>
    <row r="127" spans="14:20" ht="12.95" hidden="1" customHeight="1" x14ac:dyDescent="0.25">
      <c r="N127" s="1">
        <v>59</v>
      </c>
      <c r="S127" s="14" t="str">
        <f>+Retribuciones!AU82</f>
        <v xml:space="preserve">Coordinador/a Formación en Centros de Trabajo </v>
      </c>
      <c r="T127" s="105">
        <f>+Retribuciones!AV82</f>
        <v>71.52000000000001</v>
      </c>
    </row>
    <row r="128" spans="14:20" ht="12.95" hidden="1" customHeight="1" x14ac:dyDescent="0.25">
      <c r="N128" s="1">
        <v>60</v>
      </c>
      <c r="S128" s="14" t="str">
        <f>+Retribuciones!AU83</f>
        <v>Tutoría</v>
      </c>
      <c r="T128" s="105">
        <f>+Retribuciones!AV83</f>
        <v>35</v>
      </c>
    </row>
    <row r="129" spans="14:20" ht="12.95" hidden="1" customHeight="1" x14ac:dyDescent="0.25">
      <c r="N129" s="1">
        <v>61</v>
      </c>
      <c r="S129" s="14" t="str">
        <f>+Retribuciones!AU84</f>
        <v>Impartición docencia en lengua extranjera. Maestros de Inglés sin B2, ni C1, ni C2</v>
      </c>
      <c r="T129" s="105">
        <f>+Retribuciones!AV84</f>
        <v>35</v>
      </c>
    </row>
    <row r="130" spans="14:20" ht="12.95" hidden="1" customHeight="1" x14ac:dyDescent="0.25">
      <c r="N130" s="1">
        <v>62</v>
      </c>
      <c r="S130" s="14" t="str">
        <f>+Retribuciones!AU85</f>
        <v>Impartición docencia en lengua extranjera. Profesorado con B2</v>
      </c>
      <c r="T130" s="105">
        <f>+Retribuciones!AV85</f>
        <v>35</v>
      </c>
    </row>
    <row r="131" spans="14:20" ht="12.95" hidden="1" customHeight="1" x14ac:dyDescent="0.25">
      <c r="N131" s="1">
        <v>63</v>
      </c>
      <c r="S131" s="14" t="str">
        <f>+Retribuciones!AU86</f>
        <v>Impartición docencia en lengua extranjera. Profesorado con C1 o C2</v>
      </c>
      <c r="T131" s="105">
        <f>+Retribuciones!AV86</f>
        <v>45</v>
      </c>
    </row>
    <row r="132" spans="14:20" ht="12.95" hidden="1" customHeight="1" x14ac:dyDescent="0.25">
      <c r="N132" s="1">
        <v>64</v>
      </c>
      <c r="S132" s="14" t="str">
        <f>+Retribuciones!AU87</f>
        <v>Coordinación impartición docencia en lengua extranjera. Nivel B2</v>
      </c>
      <c r="T132" s="105">
        <f>+Retribuciones!AV87</f>
        <v>45</v>
      </c>
    </row>
    <row r="133" spans="14:20" ht="12.95" hidden="1" customHeight="1" x14ac:dyDescent="0.25">
      <c r="N133" s="1">
        <v>65</v>
      </c>
      <c r="S133" s="14" t="str">
        <f>+Retribuciones!AU88</f>
        <v>Coordinación impartición docencia en lengua extranjera. Nivel C1 o C2</v>
      </c>
      <c r="T133" s="105">
        <f>+Retribuciones!AV88</f>
        <v>55</v>
      </c>
    </row>
    <row r="134" spans="14:20" ht="12.95" hidden="1" customHeight="1" x14ac:dyDescent="0.25">
      <c r="N134" s="1">
        <v>66</v>
      </c>
      <c r="S134" s="14" t="str">
        <f>+Retribuciones!AU89</f>
        <v>Coordinación en convivencia</v>
      </c>
      <c r="T134" s="105">
        <f>+Retribuciones!AV89</f>
        <v>30</v>
      </c>
    </row>
    <row r="135" spans="14:20" ht="12.95" hidden="1" customHeight="1" x14ac:dyDescent="0.25">
      <c r="N135" s="1">
        <v>67</v>
      </c>
      <c r="S135" s="130"/>
    </row>
    <row r="136" spans="14:20" ht="12.95" hidden="1" customHeight="1" x14ac:dyDescent="0.25">
      <c r="N136" s="1">
        <v>68</v>
      </c>
      <c r="S136" s="130"/>
    </row>
    <row r="137" spans="14:20" ht="12.95" hidden="1" customHeight="1" x14ac:dyDescent="0.25">
      <c r="N137" s="1">
        <v>69</v>
      </c>
    </row>
    <row r="138" spans="14:20" ht="12.95" hidden="1" customHeight="1" x14ac:dyDescent="0.25">
      <c r="N138" s="1">
        <v>70</v>
      </c>
    </row>
    <row r="139" spans="14:20" ht="12.95" hidden="1" customHeight="1" x14ac:dyDescent="0.25">
      <c r="N139" s="1">
        <v>71</v>
      </c>
    </row>
    <row r="140" spans="14:20" ht="12.95" hidden="1" customHeight="1" x14ac:dyDescent="0.25">
      <c r="N140" s="1">
        <v>72</v>
      </c>
    </row>
  </sheetData>
  <sheetProtection algorithmName="SHA-512" hashValue="/rthXmRSieXbKQhykCnjwWckP22s7aU/zsspALRwGbeHqg17Z8S/+klNm7BhvqTOB7O075BfgTkn7WrHacyIkA==" saltValue="c8ybTonOYZcYelikedZv0Q==" spinCount="100000" sheet="1" objects="1" scenarios="1"/>
  <mergeCells count="30">
    <mergeCell ref="C6:D6"/>
    <mergeCell ref="E6:E10"/>
    <mergeCell ref="C7:D7"/>
    <mergeCell ref="C8:D8"/>
    <mergeCell ref="C9:D9"/>
    <mergeCell ref="B1:E1"/>
    <mergeCell ref="B2:E2"/>
    <mergeCell ref="B3:E3"/>
    <mergeCell ref="C5:E5"/>
    <mergeCell ref="F5:G5"/>
    <mergeCell ref="B40:C40"/>
    <mergeCell ref="C10:D10"/>
    <mergeCell ref="C11:D11"/>
    <mergeCell ref="C12:D12"/>
    <mergeCell ref="C13:D13"/>
    <mergeCell ref="C14:D14"/>
    <mergeCell ref="C15:D15"/>
    <mergeCell ref="C16:D16"/>
    <mergeCell ref="C17:D17"/>
    <mergeCell ref="D19:G19"/>
    <mergeCell ref="D20:E20"/>
    <mergeCell ref="F20:G20"/>
    <mergeCell ref="B60:C60"/>
    <mergeCell ref="B64:D64"/>
    <mergeCell ref="B41:C41"/>
    <mergeCell ref="B42:C42"/>
    <mergeCell ref="B43:C43"/>
    <mergeCell ref="B44:C44"/>
    <mergeCell ref="C47:G47"/>
    <mergeCell ref="B59:C59"/>
  </mergeCells>
  <dataValidations disablePrompts="1" count="7">
    <dataValidation type="list" allowBlank="1" showInputMessage="1" showErrorMessage="1" sqref="B43:C43" xr:uid="{D0544767-1A18-4781-92C4-A979DECA96E9}">
      <formula1>$S$108:$S$124</formula1>
    </dataValidation>
    <dataValidation type="list" allowBlank="1" showInputMessage="1" showErrorMessage="1" sqref="B41:C41" xr:uid="{18D5AD58-40FC-43BE-9ACD-D58E94758B98}">
      <formula1>$S$68:$S$86</formula1>
    </dataValidation>
    <dataValidation type="list" allowBlank="1" showInputMessage="1" showErrorMessage="1" sqref="B42:C42" xr:uid="{755A7D24-FEE5-4D56-B38C-2D87275B75D3}">
      <formula1>$S$87:$S$107</formula1>
    </dataValidation>
    <dataValidation type="list" allowBlank="1" showInputMessage="1" showErrorMessage="1" sqref="B40:C40" xr:uid="{6A2E10E0-061F-4572-8EAE-75419EE7E267}">
      <formula1>$S$125:$S$134</formula1>
    </dataValidation>
    <dataValidation type="list" allowBlank="1" showErrorMessage="1" promptTitle="DESTINO EN ISLA NO CAPITALINA" prompt="-Si se tienen destino en una isla capitalina, seleccionar = N_x000a_-Si se tiene destino en una isla no capitalina, seleccionar = S" sqref="C13" xr:uid="{C868AB6B-77A0-4C33-B881-40AC3203A905}">
      <formula1>$M$71:$M$72</formula1>
    </dataValidation>
    <dataValidation type="list" allowBlank="1" showInputMessage="1" showErrorMessage="1" promptTitle="Destino en Isla No Capitalina" prompt=" " sqref="C65543" xr:uid="{1F7383A1-49C3-4685-8BCF-9CE8A84DF104}">
      <formula1>#REF!</formula1>
    </dataValidation>
    <dataValidation type="list" allowBlank="1" showInputMessage="1" showErrorMessage="1" promptTitle="Nómina con Paga Extra" prompt=" " sqref="C65545" xr:uid="{60E58397-7452-4BDC-84DC-E5525BC11D68}">
      <formula1>#REF!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  <pageSetUpPr fitToPage="1"/>
  </sheetPr>
  <dimension ref="A1:AI160"/>
  <sheetViews>
    <sheetView showWhiteSpace="0" topLeftCell="A1048576" workbookViewId="0">
      <selection activeCell="A14" sqref="A1:XFD1048576"/>
    </sheetView>
  </sheetViews>
  <sheetFormatPr baseColWidth="10" defaultRowHeight="12.95" customHeight="1" zeroHeight="1" x14ac:dyDescent="0.25"/>
  <cols>
    <col min="1" max="1" width="1.85546875" style="1" customWidth="1"/>
    <col min="2" max="2" width="67.5703125" style="1" customWidth="1"/>
    <col min="3" max="3" width="19.42578125" style="1" customWidth="1"/>
    <col min="4" max="4" width="16.5703125" style="1" customWidth="1"/>
    <col min="5" max="5" width="16.85546875" style="1" customWidth="1"/>
    <col min="6" max="6" width="13.5703125" style="1" bestFit="1" customWidth="1"/>
    <col min="7" max="7" width="16.7109375" style="1" customWidth="1"/>
    <col min="8" max="8" width="3.140625" style="1" customWidth="1"/>
    <col min="9" max="9" width="11.5703125" style="1" customWidth="1"/>
    <col min="10" max="10" width="13.28515625" style="1" customWidth="1"/>
    <col min="11" max="11" width="12.42578125" style="1" bestFit="1" customWidth="1"/>
    <col min="12" max="12" width="38.5703125" style="1" bestFit="1" customWidth="1"/>
    <col min="13" max="13" width="10" style="1" bestFit="1" customWidth="1"/>
    <col min="14" max="14" width="3.28515625" style="1" bestFit="1" customWidth="1"/>
    <col min="15" max="15" width="6" style="1" hidden="1" customWidth="1"/>
    <col min="16" max="16" width="49.28515625" style="37" bestFit="1" customWidth="1"/>
    <col min="17" max="18" width="15.7109375" style="1" hidden="1" customWidth="1"/>
    <col min="19" max="19" width="76.85546875" style="1" bestFit="1" customWidth="1"/>
    <col min="20" max="20" width="8.140625" style="1" bestFit="1" customWidth="1"/>
    <col min="21" max="23" width="15.7109375" style="1" customWidth="1"/>
    <col min="24" max="24" width="8.28515625" style="1" customWidth="1"/>
    <col min="25" max="25" width="7.42578125" style="1" customWidth="1"/>
    <col min="26" max="39" width="15.7109375" style="1" customWidth="1"/>
    <col min="40" max="144" width="25.85546875" style="1" customWidth="1"/>
    <col min="145" max="16384" width="11.42578125" style="1"/>
  </cols>
  <sheetData>
    <row r="1" spans="2:35" s="36" customFormat="1" ht="18" hidden="1" x14ac:dyDescent="0.25">
      <c r="B1" s="328" t="s">
        <v>226</v>
      </c>
      <c r="C1" s="329"/>
      <c r="D1" s="329"/>
      <c r="E1" s="330"/>
      <c r="H1" s="1"/>
      <c r="P1" s="37"/>
    </row>
    <row r="2" spans="2:35" s="36" customFormat="1" ht="18" hidden="1" x14ac:dyDescent="0.25">
      <c r="B2" s="331" t="s">
        <v>229</v>
      </c>
      <c r="C2" s="332"/>
      <c r="D2" s="332"/>
      <c r="E2" s="333"/>
      <c r="H2" s="1"/>
      <c r="P2" s="37"/>
    </row>
    <row r="3" spans="2:35" s="36" customFormat="1" ht="18" hidden="1" x14ac:dyDescent="0.25">
      <c r="B3" s="334" t="s">
        <v>176</v>
      </c>
      <c r="C3" s="335"/>
      <c r="D3" s="335"/>
      <c r="E3" s="336"/>
      <c r="H3" s="1"/>
      <c r="P3" s="37"/>
    </row>
    <row r="4" spans="2:35" ht="3.75" hidden="1" customHeight="1" x14ac:dyDescent="0.25">
      <c r="G4" s="31"/>
      <c r="I4" s="31"/>
      <c r="J4" s="31"/>
      <c r="K4" s="31"/>
    </row>
    <row r="5" spans="2:35" ht="16.5" hidden="1" thickBot="1" x14ac:dyDescent="0.3">
      <c r="B5" s="35" t="s">
        <v>54</v>
      </c>
      <c r="C5" s="337" t="str">
        <f>+Nómina!D5</f>
        <v>590-Profesores Enseñanza Secundaria</v>
      </c>
      <c r="D5" s="337"/>
      <c r="E5" s="338"/>
      <c r="F5" s="339" t="s">
        <v>194</v>
      </c>
      <c r="G5" s="340"/>
      <c r="I5" s="31"/>
      <c r="J5" s="31"/>
      <c r="K5" s="31"/>
    </row>
    <row r="6" spans="2:35" ht="15.75" hidden="1" customHeight="1" x14ac:dyDescent="0.25">
      <c r="B6" s="35" t="s">
        <v>55</v>
      </c>
      <c r="C6" s="341" t="str">
        <f>+Nómina!D6</f>
        <v>Interino</v>
      </c>
      <c r="D6" s="342"/>
      <c r="E6" s="343" t="s">
        <v>234</v>
      </c>
      <c r="F6" s="31"/>
      <c r="G6" s="31"/>
      <c r="I6" s="31"/>
      <c r="J6" s="31"/>
      <c r="K6" s="31"/>
    </row>
    <row r="7" spans="2:35" ht="15.75" hidden="1" x14ac:dyDescent="0.25">
      <c r="B7" s="35" t="s">
        <v>216</v>
      </c>
      <c r="C7" s="345">
        <f>+Nómina!D9</f>
        <v>9</v>
      </c>
      <c r="D7" s="346"/>
      <c r="E7" s="344"/>
      <c r="F7" s="31"/>
      <c r="G7" s="31"/>
      <c r="I7" s="31"/>
      <c r="J7" s="31"/>
      <c r="K7" s="31"/>
    </row>
    <row r="8" spans="2:35" ht="15" hidden="1" customHeight="1" x14ac:dyDescent="0.25">
      <c r="B8" s="35" t="s">
        <v>217</v>
      </c>
      <c r="C8" s="345">
        <f>+Nómina!D10</f>
        <v>9</v>
      </c>
      <c r="D8" s="346"/>
      <c r="E8" s="344"/>
      <c r="F8" s="31"/>
      <c r="G8" s="31"/>
      <c r="I8" s="31"/>
      <c r="J8" s="31"/>
      <c r="K8" s="31"/>
    </row>
    <row r="9" spans="2:35" ht="15" hidden="1" customHeight="1" x14ac:dyDescent="0.25">
      <c r="B9" s="35" t="s">
        <v>212</v>
      </c>
      <c r="C9" s="347" t="str">
        <f>IF(+Nómina!D7="Sí","S","N")</f>
        <v>N</v>
      </c>
      <c r="D9" s="348"/>
      <c r="E9" s="344"/>
      <c r="F9" s="31"/>
      <c r="G9" s="31"/>
      <c r="I9" s="31"/>
      <c r="J9" s="31"/>
      <c r="K9" s="31"/>
    </row>
    <row r="10" spans="2:35" ht="15" hidden="1" customHeight="1" thickBot="1" x14ac:dyDescent="0.3">
      <c r="B10" s="173" t="s">
        <v>56</v>
      </c>
      <c r="C10" s="309" t="str">
        <f>IF(+Nómina!D15="Agosto (Interino)","Agosto",+Nómina!D15)</f>
        <v>Agosto</v>
      </c>
      <c r="D10" s="310"/>
      <c r="E10" s="344"/>
      <c r="F10" s="31"/>
      <c r="G10" s="31"/>
      <c r="I10" s="31"/>
      <c r="J10" s="31"/>
      <c r="K10" s="31"/>
    </row>
    <row r="11" spans="2:35" ht="15" hidden="1" customHeight="1" x14ac:dyDescent="0.25">
      <c r="B11" s="175" t="str">
        <f>IF(AND(C10="Diciembre",C6="Interino"),"Días trabajados entre sep-oct-nov",IF(AND(C10="Junio",C6="Interino"),"Días trabajados entre dic-ene-feb-mar-abr-may",IF(AND(C10="Agosto",C6="Interino"),"Días trabajados entre jun-jul-ago","")))</f>
        <v>Días trabajados entre jun-jul-ago</v>
      </c>
      <c r="C11" s="311">
        <f>+Nómina!D16</f>
        <v>90</v>
      </c>
      <c r="D11" s="312"/>
      <c r="E11" s="176" t="str">
        <f>IF(AND(C10="Diciembre",C6="Interino"),"Para cálculo de paga extra de Sueldo Base, Trienios y Complemento destino",IF(AND(C10="Junio",C6="Interino"),"Para cálculo de paga extra de Sueldo Base, Trienios y Complemento destino",IF(AND(C10="Agosto",C6="Interino"),"Para cálculo de paga extra de Sueldo Base, Trienios y Complemento destino","")))</f>
        <v>Para cálculo de paga extra de Sueldo Base, Trienios y Complemento destino</v>
      </c>
      <c r="F11" s="177"/>
      <c r="G11" s="177"/>
      <c r="H11" s="177"/>
      <c r="I11" s="177"/>
      <c r="J11" s="178"/>
      <c r="K11" s="31"/>
    </row>
    <row r="12" spans="2:35" ht="15" hidden="1" customHeight="1" thickBot="1" x14ac:dyDescent="0.3">
      <c r="B12" s="179" t="str">
        <f>IF(AND(C10="Diciembre",C6="Interino"),"Días trabajados entre sep-oct-nov-dic",IF(AND(C10="Junio",C6="Interino"),"Días trabajados entre ene-feb-mar-abr-may-jun",IF(AND(C10="Agosto",C6="Interino"),"Días trabajados entre jul-ago","")))</f>
        <v>Días trabajados entre jul-ago</v>
      </c>
      <c r="C12" s="313">
        <f>+Nómina!D17</f>
        <v>60</v>
      </c>
      <c r="D12" s="314"/>
      <c r="E12" s="180" t="str">
        <f>IF(AND(C10="Diciembre",C6="Interino"),"Para cálculo de paga extra de Adicional Complemento destino y Sexenios",IF(AND(C10="Junio",C6="Interino"),"Para cálculo de paga extra de Adicional Complemento destino y Sexenios",IF(AND(C10="Agosto",C6="Interino"),"Para cálculo de paga extra de Adicional Complemento destino y Sexenios","")))</f>
        <v>Para cálculo de paga extra de Adicional Complemento destino y Sexenios</v>
      </c>
      <c r="F12" s="181"/>
      <c r="G12" s="181"/>
      <c r="H12" s="181"/>
      <c r="I12" s="181"/>
      <c r="J12" s="182"/>
      <c r="K12" s="31"/>
    </row>
    <row r="13" spans="2:35" ht="15" hidden="1" customHeight="1" x14ac:dyDescent="0.25">
      <c r="B13" s="174" t="s">
        <v>189</v>
      </c>
      <c r="C13" s="315" t="str">
        <f>IF(+Nómina!D8="No capitalina","S","N")</f>
        <v>N</v>
      </c>
      <c r="D13" s="315"/>
      <c r="E13" s="172"/>
      <c r="F13" s="31"/>
      <c r="G13" s="31"/>
      <c r="I13" s="31"/>
      <c r="J13" s="31"/>
      <c r="K13" s="31"/>
    </row>
    <row r="14" spans="2:35" ht="15" hidden="1" customHeight="1" x14ac:dyDescent="0.25">
      <c r="B14" s="165" t="s">
        <v>220</v>
      </c>
      <c r="C14" s="316">
        <f>+Nómina!D14</f>
        <v>0</v>
      </c>
      <c r="D14" s="317"/>
      <c r="E14" s="168" t="s">
        <v>233</v>
      </c>
      <c r="F14" s="169"/>
      <c r="G14" s="143" t="s">
        <v>225</v>
      </c>
      <c r="H14" s="159"/>
      <c r="I14" s="144"/>
      <c r="J14" s="145"/>
      <c r="K14" s="144"/>
      <c r="L14" s="160"/>
      <c r="M14" s="159"/>
      <c r="N14" s="159"/>
      <c r="O14" s="159"/>
      <c r="P14" s="170"/>
      <c r="Q14" s="159"/>
      <c r="R14" s="159"/>
      <c r="S14" s="159"/>
      <c r="T14" s="159"/>
      <c r="U14" s="159"/>
      <c r="V14" s="159"/>
      <c r="W14" s="159"/>
      <c r="X14" s="159"/>
      <c r="Y14" s="159"/>
      <c r="Z14" s="159"/>
      <c r="AA14" s="159"/>
      <c r="AB14" s="159"/>
      <c r="AC14" s="159"/>
      <c r="AD14" s="159"/>
      <c r="AE14" s="159"/>
      <c r="AF14" s="159"/>
      <c r="AG14" s="159"/>
      <c r="AH14" s="159"/>
      <c r="AI14" s="160"/>
    </row>
    <row r="15" spans="2:35" ht="15" hidden="1" customHeight="1" x14ac:dyDescent="0.2">
      <c r="B15" s="165" t="s">
        <v>221</v>
      </c>
      <c r="C15" s="318">
        <f>+Nómina!D12</f>
        <v>30</v>
      </c>
      <c r="D15" s="319"/>
      <c r="E15" s="168" t="s">
        <v>235</v>
      </c>
      <c r="F15" s="169"/>
      <c r="G15" s="143" t="s">
        <v>222</v>
      </c>
      <c r="H15" s="160"/>
      <c r="I15" s="144"/>
      <c r="J15" s="144"/>
      <c r="K15" s="145"/>
      <c r="P15" s="1"/>
    </row>
    <row r="16" spans="2:35" ht="4.5" hidden="1" customHeight="1" x14ac:dyDescent="0.25">
      <c r="B16" s="35"/>
      <c r="C16" s="320"/>
      <c r="D16" s="321"/>
      <c r="F16" s="31"/>
      <c r="G16" s="31"/>
      <c r="I16" s="31"/>
      <c r="J16" s="31"/>
      <c r="K16" s="31"/>
      <c r="Q16" s="136"/>
      <c r="R16" s="136"/>
      <c r="S16" s="136"/>
      <c r="T16" s="136"/>
      <c r="U16" s="136"/>
      <c r="V16" s="136"/>
      <c r="W16" s="136"/>
      <c r="X16" s="137"/>
    </row>
    <row r="17" spans="1:26" ht="15" hidden="1" customHeight="1" x14ac:dyDescent="0.25">
      <c r="B17" s="59" t="str">
        <f>IF(C6=P70,"Funcionario Interino. Estimación % de retención anual de IRPF.","Funcionarios Carrera. Estimación % de retención anual de IRPF.")</f>
        <v>Funcionario Interino. Estimación % de retención anual de IRPF.</v>
      </c>
      <c r="C17" s="322">
        <f>IF(C6="Interino",+'IRPF meses nombrado'!B35,+'IRPF año completo'!B35)</f>
        <v>0.14581899923358613</v>
      </c>
      <c r="D17" s="322"/>
      <c r="E17" s="148" t="str">
        <f>IF(C6=P70,"Jornada Completa. De Enero a Agosto 2020.","Jornada Completa. Año natural")</f>
        <v>Jornada Completa. De Enero a Agosto 2020.</v>
      </c>
      <c r="F17" s="141"/>
      <c r="G17" s="142"/>
      <c r="I17" s="147">
        <f>IF(C6=P70,+'IRPF año completo'!B35+((+'IRPF año completo'!B35-C17)*2),"")</f>
        <v>0.28151003177661793</v>
      </c>
      <c r="J17" s="149" t="str">
        <f>IF(C6=P70,"Estimación de la retención de septiembre a diciembre 2019","")</f>
        <v>Estimación de la retención de septiembre a diciembre 2019</v>
      </c>
      <c r="K17" s="146"/>
      <c r="L17" s="150"/>
    </row>
    <row r="18" spans="1:26" ht="8.25" hidden="1" customHeight="1" x14ac:dyDescent="0.25">
      <c r="B18" s="3"/>
      <c r="C18" s="3"/>
      <c r="D18" s="3"/>
      <c r="F18" s="31"/>
      <c r="G18" s="31"/>
      <c r="I18" s="31"/>
      <c r="J18" s="31"/>
      <c r="K18" s="31"/>
    </row>
    <row r="19" spans="1:26" ht="16.5" hidden="1" customHeight="1" x14ac:dyDescent="0.25">
      <c r="A19" s="31"/>
      <c r="B19" s="31"/>
      <c r="C19" s="31"/>
      <c r="D19" s="323" t="s">
        <v>223</v>
      </c>
      <c r="E19" s="323"/>
      <c r="F19" s="323"/>
      <c r="G19" s="323"/>
      <c r="H19" s="31"/>
      <c r="I19" s="31"/>
      <c r="J19" s="31"/>
      <c r="K19" s="31"/>
    </row>
    <row r="20" spans="1:26" ht="16.5" hidden="1" customHeight="1" x14ac:dyDescent="0.25">
      <c r="A20" s="31"/>
      <c r="B20" s="31"/>
      <c r="C20" s="31"/>
      <c r="D20" s="324" t="s">
        <v>230</v>
      </c>
      <c r="E20" s="325"/>
      <c r="F20" s="326" t="s">
        <v>232</v>
      </c>
      <c r="G20" s="327"/>
      <c r="H20" s="31"/>
      <c r="I20" s="31"/>
      <c r="J20" s="31"/>
      <c r="K20" s="31"/>
    </row>
    <row r="21" spans="1:26" ht="25.5" hidden="1" x14ac:dyDescent="0.25">
      <c r="B21" s="2"/>
      <c r="C21" s="15" t="s">
        <v>213</v>
      </c>
      <c r="D21" s="183" t="s">
        <v>236</v>
      </c>
      <c r="E21" s="184" t="s">
        <v>231</v>
      </c>
      <c r="F21" s="183" t="s">
        <v>236</v>
      </c>
      <c r="G21" s="184" t="s">
        <v>231</v>
      </c>
      <c r="Q21" s="139"/>
      <c r="R21" s="139"/>
      <c r="S21" s="139"/>
      <c r="T21" s="139"/>
      <c r="U21" s="139"/>
      <c r="V21" s="139"/>
      <c r="W21" s="139"/>
      <c r="X21" s="140"/>
      <c r="Y21" s="2"/>
      <c r="Z21" s="2"/>
    </row>
    <row r="22" spans="1:26" ht="15" hidden="1" customHeight="1" x14ac:dyDescent="0.25">
      <c r="A22" s="2"/>
      <c r="B22" s="23" t="s">
        <v>2</v>
      </c>
      <c r="C22" s="21" t="str">
        <f>+Retribuciones!P24</f>
        <v>A1</v>
      </c>
      <c r="D22" s="188">
        <f>+Retribuciones!P26</f>
        <v>1214.3900000000001</v>
      </c>
      <c r="E22" s="161">
        <f t="shared" ref="E22:E34" si="0">+(D22/30)*C$15</f>
        <v>1214.3900000000001</v>
      </c>
      <c r="F22" s="188">
        <f t="shared" ref="F22:F39" si="1">IF(OR(C$5=P$92,C$5=P$93,C$5=P$94,C$5=P$95,C$5=P$96,C$5=P$97,C$5=P$98,C$5=P$99,C$5=P$101),(D22/18)*C$14,(D22/25)*C$14)</f>
        <v>0</v>
      </c>
      <c r="G22" s="167">
        <f>+(F22/30)*C$15</f>
        <v>0</v>
      </c>
      <c r="I22" s="31"/>
      <c r="J22" s="31"/>
      <c r="K22" s="31"/>
    </row>
    <row r="23" spans="1:26" ht="15" hidden="1" customHeight="1" x14ac:dyDescent="0.25">
      <c r="A23" s="2"/>
      <c r="B23" s="61" t="str">
        <f>CONCATENATE("Trienios (Gr.",C23,"-",INT(+C7/3),")")</f>
        <v>Trienios (Gr.A1-3)</v>
      </c>
      <c r="C23" s="21" t="str">
        <f>+C22</f>
        <v>A1</v>
      </c>
      <c r="D23" s="162">
        <f>Retribuciones!P28*INT($C$7/3)</f>
        <v>140.22</v>
      </c>
      <c r="E23" s="161">
        <f t="shared" si="0"/>
        <v>140.22</v>
      </c>
      <c r="F23" s="167">
        <f t="shared" si="1"/>
        <v>0</v>
      </c>
      <c r="G23" s="167">
        <f t="shared" ref="G23:G43" si="2">+(F23/30)*C$15</f>
        <v>0</v>
      </c>
      <c r="I23" s="31"/>
      <c r="J23" s="31"/>
      <c r="K23" s="31"/>
    </row>
    <row r="24" spans="1:26" s="2" customFormat="1" ht="15" hidden="1" customHeight="1" x14ac:dyDescent="0.25">
      <c r="B24" s="23" t="str">
        <f>IF(C13="s","Residencia en isla No Capitalina","Residencia en isla Capitalina")</f>
        <v>Residencia en isla Capitalina</v>
      </c>
      <c r="C24" s="32"/>
      <c r="D24" s="162">
        <f>IF($C$13="s",+Retribuciones!P45,Retribuciones!P44)</f>
        <v>142.66999999999999</v>
      </c>
      <c r="E24" s="161">
        <f t="shared" si="0"/>
        <v>142.66999999999999</v>
      </c>
      <c r="F24" s="167">
        <f t="shared" si="1"/>
        <v>0</v>
      </c>
      <c r="G24" s="167">
        <f t="shared" si="2"/>
        <v>0</v>
      </c>
      <c r="H24" s="1"/>
      <c r="I24" s="31"/>
      <c r="J24" s="31"/>
      <c r="K24" s="31"/>
      <c r="L24" s="1"/>
      <c r="M24" s="1"/>
      <c r="N24" s="1"/>
      <c r="O24" s="1"/>
      <c r="P24" s="37"/>
    </row>
    <row r="25" spans="1:26" s="2" customFormat="1" ht="15.75" hidden="1" x14ac:dyDescent="0.25">
      <c r="B25" s="23" t="str">
        <f>IF(C13="s","Trienio en isla No Capitalina"," ")</f>
        <v xml:space="preserve"> </v>
      </c>
      <c r="C25" s="24"/>
      <c r="D25" s="162">
        <f>IF($C$13="s",Retribuciones!P46*INT($C$7/3),0)</f>
        <v>0</v>
      </c>
      <c r="E25" s="161">
        <f t="shared" si="0"/>
        <v>0</v>
      </c>
      <c r="F25" s="167">
        <f t="shared" si="1"/>
        <v>0</v>
      </c>
      <c r="G25" s="167">
        <f t="shared" si="2"/>
        <v>0</v>
      </c>
      <c r="H25" s="1"/>
      <c r="I25" s="1"/>
      <c r="J25" s="1"/>
      <c r="K25" s="1"/>
      <c r="P25" s="131"/>
    </row>
    <row r="26" spans="1:26" s="2" customFormat="1" ht="15.75" hidden="1" x14ac:dyDescent="0.25">
      <c r="B26" s="28" t="s">
        <v>190</v>
      </c>
      <c r="C26" s="33"/>
      <c r="D26" s="162">
        <f>Retribuciones!P32</f>
        <v>672.9</v>
      </c>
      <c r="E26" s="161">
        <f t="shared" si="0"/>
        <v>672.9</v>
      </c>
      <c r="F26" s="167">
        <f t="shared" si="1"/>
        <v>0</v>
      </c>
      <c r="G26" s="167">
        <f t="shared" si="2"/>
        <v>0</v>
      </c>
      <c r="H26" s="1"/>
      <c r="I26" s="1"/>
      <c r="J26" s="1"/>
      <c r="K26" s="1"/>
      <c r="P26" s="131"/>
    </row>
    <row r="27" spans="1:26" s="2" customFormat="1" ht="15.75" hidden="1" x14ac:dyDescent="0.25">
      <c r="A27" s="1"/>
      <c r="B27" s="23" t="s">
        <v>191</v>
      </c>
      <c r="C27" s="22">
        <f>+Retribuciones!P25</f>
        <v>24</v>
      </c>
      <c r="D27" s="162">
        <f>Retribuciones!P30</f>
        <v>647.12</v>
      </c>
      <c r="E27" s="161">
        <f t="shared" si="0"/>
        <v>647.12</v>
      </c>
      <c r="F27" s="167">
        <f t="shared" si="1"/>
        <v>0</v>
      </c>
      <c r="G27" s="167">
        <f t="shared" si="2"/>
        <v>0</v>
      </c>
      <c r="H27" s="1"/>
      <c r="I27" s="1"/>
      <c r="J27" s="1"/>
      <c r="K27" s="1"/>
      <c r="P27" s="131"/>
    </row>
    <row r="28" spans="1:26" s="2" customFormat="1" ht="15.75" hidden="1" x14ac:dyDescent="0.25">
      <c r="A28" s="1"/>
      <c r="B28" s="28" t="str">
        <f>IF(AND($C$9="s",C5=P100),"Complemento nivelador maestros 1º y 2º ESO"," ")</f>
        <v xml:space="preserve"> </v>
      </c>
      <c r="C28" s="24"/>
      <c r="D28" s="162">
        <f>IF(AND($C$9="s",C5=Retribuciones!L23),Retribuciones!AV80,0)</f>
        <v>0</v>
      </c>
      <c r="E28" s="161">
        <f t="shared" si="0"/>
        <v>0</v>
      </c>
      <c r="F28" s="167">
        <f t="shared" si="1"/>
        <v>0</v>
      </c>
      <c r="G28" s="167">
        <f t="shared" si="2"/>
        <v>0</v>
      </c>
      <c r="H28" s="1"/>
      <c r="I28" s="1"/>
      <c r="J28" s="1"/>
      <c r="K28" s="1"/>
      <c r="P28" s="131"/>
    </row>
    <row r="29" spans="1:26" s="2" customFormat="1" ht="15.75" hidden="1" x14ac:dyDescent="0.25">
      <c r="A29" s="1"/>
      <c r="B29" s="28" t="str">
        <f>IF(AND(C8&gt;5,C8&lt;12),"1º Sexenio",IF(AND(C8&gt;11,C8&lt;18),"2 Sexenios consolidados",IF(AND(C8&gt;17,C8&lt;24),"3 Sexenios consolidados",IF(AND(C8&gt;23,C8&lt;30),"4 Sexenios consolidados",IF(C8&gt;29,"5 Sexenios consolidados","")))))</f>
        <v>1º Sexenio</v>
      </c>
      <c r="C29" s="24"/>
      <c r="D29" s="162">
        <f>IF(AND(C8&gt;5,C8&lt;12),Retribuciones!P34,IF(AND(C8&gt;11,C8&lt;18),Retribuciones!E36,IF(AND(C8&gt;17,C8&lt;24),Retribuciones!E38,IF(AND(C8&gt;23,C8&lt;30),Retribuciones!E40,IF(C8&gt;29,Retribuciones!E42,0)))))</f>
        <v>55</v>
      </c>
      <c r="E29" s="161">
        <f t="shared" si="0"/>
        <v>55</v>
      </c>
      <c r="F29" s="167">
        <f t="shared" si="1"/>
        <v>0</v>
      </c>
      <c r="G29" s="167">
        <f t="shared" si="2"/>
        <v>0</v>
      </c>
      <c r="H29" s="1"/>
      <c r="I29" s="1"/>
      <c r="J29" s="1"/>
      <c r="K29" s="1"/>
      <c r="P29" s="131"/>
    </row>
    <row r="30" spans="1:26" s="2" customFormat="1" ht="15.75" hidden="1" x14ac:dyDescent="0.25">
      <c r="A30" s="1"/>
      <c r="B30" s="28"/>
      <c r="C30" s="24"/>
      <c r="D30" s="162"/>
      <c r="E30" s="161">
        <f t="shared" si="0"/>
        <v>0</v>
      </c>
      <c r="F30" s="167">
        <f t="shared" si="1"/>
        <v>0</v>
      </c>
      <c r="G30" s="167">
        <f t="shared" si="2"/>
        <v>0</v>
      </c>
      <c r="H30" s="1"/>
      <c r="I30" s="1"/>
      <c r="J30" s="1"/>
      <c r="K30" s="1"/>
      <c r="P30" s="131"/>
    </row>
    <row r="31" spans="1:26" s="2" customFormat="1" ht="15.75" hidden="1" x14ac:dyDescent="0.25">
      <c r="A31" s="1"/>
      <c r="B31" s="28"/>
      <c r="C31" s="24"/>
      <c r="D31" s="162"/>
      <c r="E31" s="161">
        <f t="shared" si="0"/>
        <v>0</v>
      </c>
      <c r="F31" s="167">
        <f t="shared" si="1"/>
        <v>0</v>
      </c>
      <c r="G31" s="167">
        <f t="shared" si="2"/>
        <v>0</v>
      </c>
      <c r="H31" s="1"/>
      <c r="I31" s="1"/>
      <c r="J31" s="1"/>
      <c r="K31" s="1"/>
      <c r="P31" s="131"/>
    </row>
    <row r="32" spans="1:26" s="2" customFormat="1" ht="15.75" hidden="1" x14ac:dyDescent="0.25">
      <c r="A32" s="1"/>
      <c r="B32" s="28"/>
      <c r="C32" s="24"/>
      <c r="D32" s="162"/>
      <c r="E32" s="161">
        <f t="shared" si="0"/>
        <v>0</v>
      </c>
      <c r="F32" s="167">
        <f t="shared" si="1"/>
        <v>0</v>
      </c>
      <c r="G32" s="167">
        <f t="shared" si="2"/>
        <v>0</v>
      </c>
      <c r="H32" s="1"/>
      <c r="I32" s="1"/>
      <c r="J32" s="1"/>
      <c r="K32" s="1"/>
      <c r="P32" s="131"/>
    </row>
    <row r="33" spans="2:9" ht="15.75" hidden="1" x14ac:dyDescent="0.25">
      <c r="B33" s="28"/>
      <c r="C33" s="24"/>
      <c r="D33" s="162"/>
      <c r="E33" s="161">
        <f t="shared" si="0"/>
        <v>0</v>
      </c>
      <c r="F33" s="167">
        <f t="shared" si="1"/>
        <v>0</v>
      </c>
      <c r="G33" s="167">
        <f t="shared" si="2"/>
        <v>0</v>
      </c>
    </row>
    <row r="34" spans="2:9" ht="15.75" hidden="1" x14ac:dyDescent="0.25">
      <c r="B34" s="28"/>
      <c r="C34" s="24"/>
      <c r="D34" s="162"/>
      <c r="E34" s="161">
        <f t="shared" si="0"/>
        <v>0</v>
      </c>
      <c r="F34" s="167">
        <f t="shared" si="1"/>
        <v>0</v>
      </c>
      <c r="G34" s="167">
        <f t="shared" si="2"/>
        <v>0</v>
      </c>
    </row>
    <row r="35" spans="2:9" ht="15.75" hidden="1" x14ac:dyDescent="0.25">
      <c r="B35" s="28" t="str">
        <f>IF($C$10="junio","Paga extra junio, Sueldo Base",IF(AND($C$10="diciembre", C6="Interino"),"Paga extra diciembre (sep a dic), Sueldo Base",IF($C$10="agosto","Liquidación Paga extra diciembre, Sueldo Base",IF(AND($C$10="diciembre", C6="Carrera (anterior a 1 enero 2011)"),"Paga extra diciembre, Sueldo Base",IF(AND($C$10="diciembre", C6="Carrera (posterior a 1 enero 2011)"),"Paga extra diciembre, Sueldo Base"," ")))))</f>
        <v>Liquidación Paga extra diciembre, Sueldo Base</v>
      </c>
      <c r="C35" s="24"/>
      <c r="D35" s="162">
        <f>IF($C$10="junio",Retribuciones!P27,IF(AND($C$10="diciembre",C6="Interino"),Retribuciones!P27/2,IF(AND($C$10="agosto",C6="Interino"),Retribuciones!P27/2,IF(AND($C$10="diciembre",C6="Carrera (anterior a 1 enero 2011)"),Retribuciones!P27,IF(AND($C$10="diciembre",C6="Carrera (posterior a 1 enero 2011)"),Retribuciones!P27,0)))))</f>
        <v>374.69</v>
      </c>
      <c r="E35" s="161">
        <f>IF($C10="Diciembre",(+$D35/90)*$C11,IF($C10="Junio",(+$D35/180)*$C11,IF($C10="Agosto",(+$D35/90)*$C11,0)))</f>
        <v>374.69</v>
      </c>
      <c r="F35" s="167">
        <f t="shared" si="1"/>
        <v>0</v>
      </c>
      <c r="G35" s="167">
        <f>IF($C$10="Diciembre",(+$F35/90)*$C$11,IF($C$10="Junio",(+$F35/180)*$C$11,IF($C$10="Agosto",(+$F35/60)*$C$11,0)))</f>
        <v>0</v>
      </c>
    </row>
    <row r="36" spans="2:9" ht="15" hidden="1" customHeight="1" x14ac:dyDescent="0.25">
      <c r="B36" s="28" t="str">
        <f>IF($C$10="junio","Paga extra junio, Trienios",IF(AND($C$10="diciembre",C6="Interino"),"Paga extra diciembre (Sep a dic), Trienios",IF($C$10="agosto","Liquidación Paga extra diciembre, Trienios",IF(AND($C$10="diciembre",C6="Carrera (anterior a 1 enero 2011)"),"Paga extra diciembre, Trienios",IF(AND($C$10="diciembre",C6="Carrera (posterior a 1 enero 2011)"),"Paga extra diciembre, Trienios"," ")))))</f>
        <v>Liquidación Paga extra diciembre, Trienios</v>
      </c>
      <c r="C36" s="24"/>
      <c r="D36" s="162">
        <f>IF($C$10="junio",Retribuciones!P29*INT($C$7/3),IF(AND($C$10="diciembre",C6="Interino"),(Retribuciones!P29*INT($C$7/3))/2,IF(AND($C$10="agosto",C6="Interino"),(Retribuciones!P29*INT($C$7/3))/2,IF(AND($C$10="diciembre",C6="Carrera (anterior a 1 enero 2011)"),(Retribuciones!P29*INT($C$7/3)),IF(AND($C$10="diciembre",C6="Carrera (posterior a 1 enero 2011)"),(Retribuciones!P29*INT($C$7/3)),0)))))</f>
        <v>43.275000000000006</v>
      </c>
      <c r="E36" s="161">
        <f>IF(C10="Diciembre",(+D36/90)*C11,IF(C10="Junio",(+D36/180)*C11,IF(C10="Agosto",(+D36/90)*C11,0)))</f>
        <v>43.275000000000006</v>
      </c>
      <c r="F36" s="167">
        <f t="shared" si="1"/>
        <v>0</v>
      </c>
      <c r="G36" s="167">
        <f>IF($C$10="Diciembre",(+$F36/90)*$C$11,IF($C$10="Junio",(+$F36/180)*$C$11,IF($C$10="Agosto",(+$F36/60)*$C$11,0)))</f>
        <v>0</v>
      </c>
    </row>
    <row r="37" spans="2:9" ht="15" hidden="1" customHeight="1" x14ac:dyDescent="0.25">
      <c r="B37" s="28" t="str">
        <f>IF($C$10="junio","Paga extra junio, Complemento Destino",IF(AND($C$10="diciembre",C6="Interino"),"Paga extra diciembre (sep a dic), Complemento Destino",IF($C$10="agosto","Liquidación Paga extra diciembre, CompLemento Destino",IF(AND($C$10="diciembre",C6="Carrera (anterior a 1 enero 2011)"),"Paga extra diciembre, CompLemento Destino",IF(AND($C$10="diciembre",C6="Carrera (posterior a 1 enero 2011)"),"Paga extra diciembre, CompLemento Destino"," ")))))</f>
        <v>Liquidación Paga extra diciembre, CompLemento Destino</v>
      </c>
      <c r="C37" s="24"/>
      <c r="D37" s="162">
        <f>IF($C$10="junio",Retribuciones!P31,IF(AND($C$10="diciembre",C6="Interino"),Retribuciones!P31/2,IF(AND($C$10="agosto",C6="Interino"),Retribuciones!P31/2,IF(AND($C$10="diciembre",C6="Carrera (anterior a 1 enero 2011)"),Retribuciones!P31,IF(AND($C$10="diciembre",C6="Carrera (posterior a 1 enero 2011)"),Retribuciones!P31,0)))))</f>
        <v>323.56</v>
      </c>
      <c r="E37" s="161">
        <f>IF(C10="Diciembre",(+D37/90)*C11,IF(C10="Junio",(+D37/180)*C11,IF(C10="Agosto",(+D37/90)*C11,0)))</f>
        <v>323.56</v>
      </c>
      <c r="F37" s="167">
        <f t="shared" si="1"/>
        <v>0</v>
      </c>
      <c r="G37" s="167">
        <f>IF($C$10="Diciembre",(+$F37/90)*$C$11,IF($C$10="Junio",(+$F37/180)*$C$11,IF($C$10="Agosto",(+$F37/60)*$C$11,0)))</f>
        <v>0</v>
      </c>
    </row>
    <row r="38" spans="2:9" ht="15" hidden="1" customHeight="1" x14ac:dyDescent="0.25">
      <c r="B38" s="28" t="str">
        <f>IF($C$10="junio","Adicional, Complemento específico junio",IF(AND($C$10="diciembre",C6="Interino"),"Adicional, Complemento específico diciembre (sep a dic)",IF($C$10="agosto","Liquidación Adicional, Complemento específico diciembre",IF(AND($C$10="diciembre",C6="Carrera (anterior a 1 enero 2011)"),"Adicional, Complemento específico diciembre",IF(AND($C$10="diciembre",C6="Carrera (posterior a 1 enero 2011)"),"Adicional, Complemento específico diciembre"," ")))))</f>
        <v>Liquidación Adicional, Complemento específico diciembre</v>
      </c>
      <c r="C38" s="24"/>
      <c r="D38" s="162">
        <f>(IF(AND($C$9="s",C5=Retribuciones!M23),IF($C$10="junio",((Retribuciones!P32+Retribuciones!AV80)*78%),IF($C$10="diciembre",((Retribuciones!P32+Retribuciones!AV80)*78%),0)),IF($C$10="junio",((Retribuciones!P32)*78%),IF(AND($C$10="diciembre",C6="Interino"),((((Retribuciones!P32)*78%))/6)*4,IF(AND($C$10="agosto",C6="Interino"),((Retribuciones!P32)*78%)/3,IF(AND($C$10="diciembre",C6="Carrera (anterior a 1 enero 2011)"),(((Retribuciones!P32)*78%)),IF(AND($C$10="diciembre",C6="Carrera (posterior a 1 enero 2011)"),(((Retribuciones!P32)*78%)),0)))))))</f>
        <v>174.95399999999998</v>
      </c>
      <c r="E38" s="161">
        <f>IF($C$10="Diciembre",(+D38/120)*$C$12,IF($C$10="Junio",(+D38/180)*C$12,IF($C$10="Agosto",(+D38/60)*C$12,0)))</f>
        <v>174.95399999999998</v>
      </c>
      <c r="F38" s="167">
        <f t="shared" si="1"/>
        <v>0</v>
      </c>
      <c r="G38" s="167">
        <f>IF($C$10="Diciembre",(+F38/120)*$C$12,IF($C$10="Junio",(+F38/180)*C$12,IF($C$10="Agosto",(+F38/60)*C$12,0)))</f>
        <v>0</v>
      </c>
    </row>
    <row r="39" spans="2:9" ht="15" hidden="1" customHeight="1" x14ac:dyDescent="0.25">
      <c r="B39" s="28" t="str">
        <f>IF($C$10="junio","Paga extra Sexenios",IF(AND($C$10="diciembre",C6="Interino"),"Paga extra Sexenios (sep a dic)",IF($C$10="agosto","Liquidación Paga extra Sexenios",IF(AND($C$10="diciembre",C6="Carrera (anterior a 1 enero 2011)"),"Paga extra Sexenios",IF(AND($C$10="diciembre",C6="Carrera (posterior a 1 enero 2011)"),"Paga extra Sexenios"," ")))))</f>
        <v>Liquidación Paga extra Sexenios</v>
      </c>
      <c r="C39" s="104"/>
      <c r="D39" s="162">
        <f>IF($C$10="junio",D29*0.78,IF(AND($C$10="diciembre",C6="Interino"),(((D29*0.78)/6)*4),IF(AND($C$10="agosto",C6="Interino"),(((D29*0.78)/6)*2),IF(AND($C$10="diciembre",C6="Carrera (anterior a 1 enero 2011)"),D29*0.78,IF(AND($C$10="diciembre",C6="Carrera (posterior a 1 enero 2011)"),D29*0.78,0)))))</f>
        <v>14.299999999999999</v>
      </c>
      <c r="E39" s="161">
        <f>IF($C$10="Diciembre",(+D39/120)*$C$12,IF($C$10="Junio",(+D39/180)*C$12,IF($C$10="Agosto",(+D39/60)*C$12,0)))</f>
        <v>14.299999999999999</v>
      </c>
      <c r="F39" s="167">
        <f t="shared" si="1"/>
        <v>0</v>
      </c>
      <c r="G39" s="167">
        <f>IF($C$10="Diciembre",(+F39/120)*$C$12,IF($C$10="Junio",(+F39/180)*C$12,IF($C$10="Agosto",(+F39/60)*C$12,0)))</f>
        <v>0</v>
      </c>
    </row>
    <row r="40" spans="2:9" ht="15" hidden="1" customHeight="1" x14ac:dyDescent="0.25">
      <c r="B40" s="306" t="str">
        <f>+Nómina!B21</f>
        <v>Cargo directivo</v>
      </c>
      <c r="C40" s="307"/>
      <c r="D40" s="163">
        <f>IF(B40=S69,T69,IF(B40=S70,T70,IF(B40=S71,T71,IF(B40=S72,T72,IF(B40=S73,T73,IF(B40=S74,T74,IF(B40=S75,T75,IF(B40=S76,T76,IF(B40=S77,T77,IF(B40=S78,T78,IF(B40=S79,T79,IF(B40=S80,T80,IF(B40=S81,T81,IF(B40=S82,T82,IF(B40=S83,T83,IF(B40=S84,T84,IF(B40=S85,T85,IF(B40=S86,T86,IF(B40=S87,T87,IF(B40=S88,T88,IF(B40=S89,T89,IF(B40=S90,T90,IF(B40=S91,T91,IF(B40=S92,T92,IF(B40=S93,T93,IF(B40=S94,T94,IF(B40=S95,T95,IF(B40=S96,T96,IF(B40=S97,T97,IF(B40=S98,T98,IF(B40=S99,T99,IF(B40=S100,T100,IF(B40=S101,T101,IF(B40=S102,T102,IF(B40=S103,T103,IF(B40=S104,T104,IF(B40=S105,T105,IF(B40=S106,T106,IF(B40=S107,T107,IF(B40=S108,T108,IF(B40=S109,T109,IF(B40=S110,T110,0))))))))))))))))))))))))))))))))))))))))))</f>
        <v>0</v>
      </c>
      <c r="E40" s="161">
        <f>+(D40/30)*C$15</f>
        <v>0</v>
      </c>
      <c r="F40" s="167">
        <f>+D40</f>
        <v>0</v>
      </c>
      <c r="G40" s="167">
        <f t="shared" si="2"/>
        <v>0</v>
      </c>
    </row>
    <row r="41" spans="2:9" ht="15" hidden="1" customHeight="1" x14ac:dyDescent="0.25">
      <c r="B41" s="306" t="str">
        <f>+Nómina!B22</f>
        <v>Otros complementos: Jefe departamento, Encargado comedor, Maestros en Residencia, otros</v>
      </c>
      <c r="C41" s="307"/>
      <c r="D41" s="162">
        <f>IF(B41=S112,T112,IF(B41=S113,T113,IF(B41=S114,T114,IF(B41=S115,T115,IF(B41=S116,T116,IF(B41=S117,T117,IF(B41=S118,T118,IF(B41=S119,T119,IF(B41=S120,T120,IF(B41=S121,T121,IF(B41=S122,T122,IF(B41=S123,T123,IF(B41=S124,T124,0)))))))))))))</f>
        <v>0</v>
      </c>
      <c r="E41" s="161">
        <f>+(D41/30)*C$15</f>
        <v>0</v>
      </c>
      <c r="F41" s="167">
        <f t="shared" ref="F41:F43" si="3">+D41</f>
        <v>0</v>
      </c>
      <c r="G41" s="167">
        <f t="shared" si="2"/>
        <v>0</v>
      </c>
    </row>
    <row r="42" spans="2:9" ht="15" hidden="1" customHeight="1" x14ac:dyDescent="0.25">
      <c r="B42" s="306" t="str">
        <f>+Nómina!B23</f>
        <v>Otros complementos: Tutoría, AICLE/PILE, Coordinación</v>
      </c>
      <c r="C42" s="307"/>
      <c r="D42" s="162">
        <f>IF(B42=S125,T125,IF(B42=S126,T126,IF(B42=S127,T127,IF(B42=S128,T128,IF(B42=S129,T129,IF(B42=S130,T130,IF(B42=S131,T131,IF(B42=S132,T132,IF(B42=S133,T133,IF(B42=S134,T134,IF(B42=S135,T135,IF(B42=S136,T136,0))))))))))))</f>
        <v>0</v>
      </c>
      <c r="E42" s="161">
        <f>+(D42/30)*C$15</f>
        <v>0</v>
      </c>
      <c r="F42" s="167">
        <f t="shared" si="3"/>
        <v>0</v>
      </c>
      <c r="G42" s="167">
        <f t="shared" si="2"/>
        <v>0</v>
      </c>
    </row>
    <row r="43" spans="2:9" ht="15" hidden="1" customHeight="1" x14ac:dyDescent="0.25">
      <c r="B43" s="306" t="str">
        <f>+Nómina!B24</f>
        <v>Otros complementos: AICLE/PILE, Coordinación</v>
      </c>
      <c r="C43" s="307"/>
      <c r="D43" s="162">
        <f>IF(B43=S137,T137,IF(B43=S138,T138,IF(B43=S139,T139,IF(B43=S140,T140,IF(B43=S141,T141,IF(B43=S142,T142,IF(B43=S143,T143,IF(B43=S144,T144,IF(B43=S145,T145,0)))))))))</f>
        <v>0</v>
      </c>
      <c r="E43" s="161">
        <f>+(D43/30)*C$15</f>
        <v>0</v>
      </c>
      <c r="F43" s="167">
        <f t="shared" si="3"/>
        <v>0</v>
      </c>
      <c r="G43" s="167">
        <f t="shared" si="2"/>
        <v>0</v>
      </c>
    </row>
    <row r="44" spans="2:9" ht="15" hidden="1" customHeight="1" x14ac:dyDescent="0.25">
      <c r="B44" s="306" t="str">
        <f>+Nómina!B45</f>
        <v>Otras retribuciones (introducirla)</v>
      </c>
      <c r="C44" s="307"/>
      <c r="D44" s="164">
        <f>+Nómina!D45</f>
        <v>0</v>
      </c>
      <c r="E44" s="161"/>
      <c r="F44" s="167"/>
      <c r="G44" s="167"/>
    </row>
    <row r="45" spans="2:9" ht="15" hidden="1" customHeight="1" x14ac:dyDescent="0.25">
      <c r="B45" s="4" t="s">
        <v>45</v>
      </c>
      <c r="C45" s="5"/>
      <c r="D45" s="6">
        <f>SUM(D22:D44)</f>
        <v>3803.0790000000006</v>
      </c>
      <c r="E45" s="6">
        <f t="shared" ref="E45:G45" si="4">SUM(E22:E44)</f>
        <v>3803.0790000000006</v>
      </c>
      <c r="F45" s="6">
        <f t="shared" si="4"/>
        <v>0</v>
      </c>
      <c r="G45" s="6">
        <f t="shared" si="4"/>
        <v>0</v>
      </c>
    </row>
    <row r="46" spans="2:9" ht="15" hidden="1" customHeight="1" x14ac:dyDescent="0.25">
      <c r="B46" s="11"/>
      <c r="C46" s="11"/>
      <c r="D46" s="11"/>
    </row>
    <row r="47" spans="2:9" ht="15" hidden="1" customHeight="1" x14ac:dyDescent="0.25">
      <c r="B47" s="155" t="s">
        <v>51</v>
      </c>
      <c r="C47" s="308" t="s">
        <v>121</v>
      </c>
      <c r="D47" s="308"/>
      <c r="E47" s="308"/>
      <c r="F47" s="308"/>
      <c r="G47" s="308"/>
      <c r="I47" s="60" t="s">
        <v>122</v>
      </c>
    </row>
    <row r="48" spans="2:9" ht="15" hidden="1" customHeight="1" x14ac:dyDescent="0.25">
      <c r="B48" s="7" t="s">
        <v>210</v>
      </c>
      <c r="C48" s="24"/>
      <c r="D48" s="12">
        <v>-6</v>
      </c>
      <c r="E48" s="18">
        <f t="shared" ref="E48" si="5">+(D48/30)*C$15</f>
        <v>-6</v>
      </c>
      <c r="F48" s="18">
        <f>IF(OR(C$5=P$92,C$5=P$93,C$5=P$94,C$5=P$96,C$5=P$97,C$5=P$98),(D48/18)*C$14,(D48/25)*C$14)</f>
        <v>0</v>
      </c>
      <c r="G48" s="18">
        <f t="shared" ref="G48" si="6">+(F48/30)*C$15</f>
        <v>0</v>
      </c>
      <c r="I48" s="57"/>
    </row>
    <row r="49" spans="1:25" ht="15" hidden="1" customHeight="1" x14ac:dyDescent="0.25">
      <c r="B49" s="16" t="str">
        <f>IF(C6=P68,"Derechos Pasivos","Contingencias Comunes: 4,7% y 23,6%")</f>
        <v>Contingencias Comunes: 4,7% y 23,6%</v>
      </c>
      <c r="C49" s="30" t="str">
        <f>IF(C6=P68," ","4,70%")</f>
        <v>4,70%</v>
      </c>
      <c r="D49" s="12">
        <f>IF(OR(C6="interino",C6=P69),-D62*4.7%,IF($C$10="junio",-2*Retribuciones!P48,IF($C$10="diciembre",-2*Retribuciones!P48,-Retribuciones!P48)))</f>
        <v>-151.06285666666665</v>
      </c>
      <c r="E49" s="17">
        <f>+(D49/30)*C$15</f>
        <v>-151.06285666666665</v>
      </c>
      <c r="F49" s="17">
        <f>IF(OR(C$5=P$92,C$5=P$93,C$5=P$94,C$5=P$96,C$5=P$97,C$5=P$98),(D49/18)*C$14,(D49/25)*C$14)</f>
        <v>0</v>
      </c>
      <c r="G49" s="17">
        <f t="shared" ref="G49" si="7">+(F49/30)*C$15</f>
        <v>0</v>
      </c>
      <c r="I49" s="63">
        <f>IF(OR(C6="interino",C6=P69),ROUND(-D62*23.6%,2)," ")</f>
        <v>-758.53</v>
      </c>
    </row>
    <row r="50" spans="1:25" ht="15.75" hidden="1" x14ac:dyDescent="0.25">
      <c r="B50" s="7" t="str">
        <f>IF(OR(C6=P68,C6=P69),"MUFACE","Cuota Desempleo: 1,55% y 5,5%")</f>
        <v>Cuota Desempleo: 1,55% y 5,5%</v>
      </c>
      <c r="C50" s="30" t="str">
        <f>IF(C6=P70,"1,55%"," ")</f>
        <v>1,55%</v>
      </c>
      <c r="D50" s="12">
        <f>IF(C6="interino",-D62*1.55%,IF($C$10="junio",-2*Retribuciones!P47,IF($C$10="diciembre",-2*Retribuciones!P47,-Retribuciones!P47)))</f>
        <v>-49.818601666666659</v>
      </c>
      <c r="E50" s="17">
        <f t="shared" ref="E50:E51" si="8">+(D50/30)*C$15</f>
        <v>-49.818601666666659</v>
      </c>
      <c r="F50" s="17">
        <f>IF(OR(C$5=P$92,C$5=P$93,C$5=P$94,C$5=P$96,C$5=P$97,C$5=P$98),(D50/18)*C$14,(D50/25)*C$14)</f>
        <v>0</v>
      </c>
      <c r="G50" s="17">
        <f t="shared" ref="G50:G51" si="9">+(F50/30)*C$15</f>
        <v>0</v>
      </c>
      <c r="I50" s="63">
        <f>IF(C6="interino",ROUND(-D62*5.5%,2)," ")</f>
        <v>-176.78</v>
      </c>
    </row>
    <row r="51" spans="1:25" ht="15" hidden="1" customHeight="1" x14ac:dyDescent="0.25">
      <c r="B51" s="7" t="str">
        <f>IF(C6=P70,"Cuota Formación Profesional: 0,10% y 0,60%",IF(C6=P69,"Coeficiente reductor: 0,009 y 0,046"," "))</f>
        <v>Cuota Formación Profesional: 0,10% y 0,60%</v>
      </c>
      <c r="C51" s="62" t="str">
        <f>IF(C6=P70,"0,10%",IF(C6=P69,0.009," "))</f>
        <v>0,10%</v>
      </c>
      <c r="D51" s="12">
        <f>IF(C6="interino",ROUND(-D62*0.1%,2),IF(C6=P69,0.009*-(+D49+I49),0))</f>
        <v>-3.21</v>
      </c>
      <c r="E51" s="17">
        <f t="shared" si="8"/>
        <v>-3.21</v>
      </c>
      <c r="F51" s="17">
        <f>IF(OR(C$5=P$92,C$5=P$93,C$5=P$94,C$5=P$96,C$5=P$97,C$5=P$98),(D51/18)*C$14,(D51/25)*C$14)</f>
        <v>0</v>
      </c>
      <c r="G51" s="17">
        <f t="shared" si="9"/>
        <v>0</v>
      </c>
      <c r="I51" s="63">
        <f>IF(C6="interino",ROUND(-D62*0.6%,2),IF(C6=P69,ROUND(0.046*-(+D49+I49),2)," "))</f>
        <v>-19.28</v>
      </c>
    </row>
    <row r="52" spans="1:25" ht="15" hidden="1" customHeight="1" x14ac:dyDescent="0.25">
      <c r="B52" s="158" t="s">
        <v>50</v>
      </c>
      <c r="C52" s="156"/>
      <c r="D52" s="157">
        <f>+C17</f>
        <v>0.14581899923358613</v>
      </c>
      <c r="E52" s="166"/>
      <c r="F52" s="166"/>
      <c r="G52" s="166"/>
      <c r="I52" s="63"/>
    </row>
    <row r="53" spans="1:25" ht="15.75" hidden="1" x14ac:dyDescent="0.25">
      <c r="B53" s="58" t="s">
        <v>224</v>
      </c>
      <c r="D53" s="19">
        <f>-(+D45)*D52</f>
        <v>-554.56117378626755</v>
      </c>
      <c r="E53" s="17"/>
      <c r="F53" s="17"/>
      <c r="G53" s="17"/>
      <c r="I53" s="57"/>
      <c r="J53" s="151">
        <f>+I17</f>
        <v>0.28151003177661793</v>
      </c>
      <c r="K53" s="152">
        <f>IF(C6="Interino",-J53*D45,"")</f>
        <v>-1070.6048901389886</v>
      </c>
      <c r="L53" s="153" t="str">
        <f>IF(C6="Interino","Retención mensual de septiembre 2019","")</f>
        <v>Retención mensual de septiembre 2019</v>
      </c>
      <c r="M53" s="154"/>
      <c r="Q53" s="136"/>
      <c r="R53" s="136"/>
      <c r="S53" s="136"/>
      <c r="T53" s="136"/>
      <c r="U53" s="136"/>
      <c r="V53" s="136"/>
      <c r="W53" s="136"/>
      <c r="X53" s="137"/>
    </row>
    <row r="54" spans="1:25" ht="15" hidden="1" customHeight="1" x14ac:dyDescent="0.25">
      <c r="A54" s="2"/>
      <c r="B54" s="2"/>
      <c r="C54" s="2"/>
      <c r="D54" s="2"/>
      <c r="E54" s="2"/>
    </row>
    <row r="55" spans="1:25" ht="15.75" hidden="1" x14ac:dyDescent="0.25">
      <c r="B55" s="4" t="s">
        <v>46</v>
      </c>
      <c r="C55" s="5"/>
      <c r="D55" s="20">
        <f>SUM(D48:D53)</f>
        <v>-764.50681312036727</v>
      </c>
      <c r="E55" s="20">
        <f>SUM(E48:E53)</f>
        <v>-210.09145833333332</v>
      </c>
      <c r="F55" s="20">
        <f t="shared" ref="F55:G55" si="10">SUM(F48:F53)</f>
        <v>0</v>
      </c>
      <c r="G55" s="20">
        <f t="shared" si="10"/>
        <v>0</v>
      </c>
      <c r="K55" s="171">
        <f>IF(C6="Interino",SUM(D48:D51)+K53,"")</f>
        <v>-1280.6963484723219</v>
      </c>
    </row>
    <row r="56" spans="1:25" ht="15" hidden="1" customHeight="1" x14ac:dyDescent="0.25">
      <c r="D56" s="2"/>
      <c r="J56" s="2"/>
    </row>
    <row r="57" spans="1:25" ht="15" hidden="1" customHeight="1" x14ac:dyDescent="0.25">
      <c r="B57" s="8" t="s">
        <v>192</v>
      </c>
      <c r="C57" s="9"/>
      <c r="D57" s="10">
        <f>+D45+D55</f>
        <v>3038.5721868796336</v>
      </c>
      <c r="E57" s="10">
        <f t="shared" ref="E57:G57" si="11">+E45+E55</f>
        <v>3592.9875416666673</v>
      </c>
      <c r="F57" s="10">
        <f t="shared" si="11"/>
        <v>0</v>
      </c>
      <c r="G57" s="10">
        <f t="shared" si="11"/>
        <v>0</v>
      </c>
      <c r="K57" s="10">
        <f>IF(C6="Interino",+D45+K55,"")</f>
        <v>2522.3826515276787</v>
      </c>
      <c r="Q57" s="136"/>
      <c r="R57" s="136"/>
      <c r="S57" s="136"/>
      <c r="T57" s="136"/>
      <c r="U57" s="136"/>
      <c r="V57" s="136"/>
      <c r="W57" s="136"/>
      <c r="X57" s="137"/>
    </row>
    <row r="58" spans="1:25" ht="3.75" hidden="1" customHeight="1" x14ac:dyDescent="0.25">
      <c r="A58" s="25"/>
      <c r="B58" s="25"/>
      <c r="C58" s="25"/>
      <c r="D58" s="25"/>
    </row>
    <row r="59" spans="1:25" ht="15.75" hidden="1" x14ac:dyDescent="0.25">
      <c r="A59" s="25"/>
      <c r="B59" s="257" t="s">
        <v>193</v>
      </c>
      <c r="C59" s="258"/>
      <c r="D59" s="26">
        <f>+Retribuciones!P54+((D40+D41+D42+D43+D44)*12)</f>
        <v>38569.24</v>
      </c>
      <c r="E59" s="17">
        <f>+(D59/30)*C$15</f>
        <v>38569.24</v>
      </c>
      <c r="F59" s="17">
        <f>IF(OR(C$5=P$92,C$5=P$93,C$5=P$94,C$5=P$96,C$5=P$97,C$5=P$98),(D59/18)*C$14,(D59/25)*C$14)</f>
        <v>0</v>
      </c>
      <c r="G59" s="17">
        <f t="shared" ref="G59" si="12">+(F59/30)*C$15</f>
        <v>0</v>
      </c>
      <c r="Q59" s="136"/>
      <c r="R59" s="136"/>
      <c r="S59" s="136"/>
      <c r="T59" s="136"/>
      <c r="U59" s="136"/>
      <c r="V59" s="136"/>
      <c r="W59" s="136"/>
      <c r="X59" s="136"/>
      <c r="Y59" s="137"/>
    </row>
    <row r="60" spans="1:25" ht="15.75" hidden="1" x14ac:dyDescent="0.25">
      <c r="A60" s="25"/>
      <c r="B60" s="257" t="str">
        <f>IF(C6="carrera (anterior a 1 enero 2011)","Derechos Pasivos, MUFACE y Cuota sindical",IF(C6="Carrera (posterior a 1 enero 2011)","MUFACE, Seguridad Social (contingentes comunes) y Cuota sindical.","Seguridad Social y Cuota sindical"))</f>
        <v>Seguridad Social y Cuota sindical</v>
      </c>
      <c r="C60" s="258"/>
      <c r="D60" s="26">
        <f>IF(C6="carrera (anterior a 1 enero 2011)",(-(Retribuciones!P47+Retribuciones!P48)*14)+(D48*12),IF(C6="Carrera (posterior a 1 enero 2011)",((D49+D51)*12)+(D50*14),-(D59*6.35%)-(D48*12)))</f>
        <v>-2377.1467399999997</v>
      </c>
      <c r="E60" s="26">
        <f>IF(D6="carrera (anterior a 1 enero 2011)",(-(Retribuciones!Q47+Retribuciones!Q48)*14)+(E48*12),IF(D6="Carrera (posterior a 1 enero 2011)",((E49+E51)*12)+(E50*14),-(E59*6.35%)-(E48*12)))</f>
        <v>-2377.1467399999997</v>
      </c>
      <c r="F60" s="26">
        <f>IF(E6="carrera (anterior a 1 enero 2011)",(-(Retribuciones!R47+Retribuciones!R48)*14)+(F48*12),IF(E6="Carrera (posterior a 1 enero 2011)",((F49+F51)*12)+(F50*14),-(F59*6.35%)-(F48*12)))</f>
        <v>0</v>
      </c>
      <c r="G60" s="26">
        <f>IF(F6="carrera (anterior a 1 enero 2011)",(-(Retribuciones!S47+Retribuciones!S48)*14)+(G48*12),IF(F6="Carrera (posterior a 1 enero 2011)",((G49+G51)*12)+(G50*14),-(G59*6.35%)-(G48*12)))</f>
        <v>0</v>
      </c>
    </row>
    <row r="61" spans="1:25" ht="15.75" hidden="1" x14ac:dyDescent="0.25">
      <c r="A61" s="25"/>
      <c r="B61" s="25"/>
      <c r="C61" s="25"/>
      <c r="D61" s="25"/>
    </row>
    <row r="62" spans="1:25" ht="15.75" hidden="1" x14ac:dyDescent="0.25">
      <c r="A62" s="25"/>
      <c r="B62" s="4" t="str">
        <f>IF(OR(C6="interino",C6=P69),"Base cotización Seguridad Social"," ")</f>
        <v>Base cotización Seguridad Social</v>
      </c>
      <c r="C62" s="27"/>
      <c r="D62" s="26">
        <f>IF(OR(C6="interino",C6=P69),+D59/12," ")</f>
        <v>3214.103333333333</v>
      </c>
      <c r="E62" s="17">
        <f>+(D62/30)*C$15</f>
        <v>3214.103333333333</v>
      </c>
      <c r="F62" s="17">
        <f>IF(OR(C$5=P$92,C$5=P$93,C$5=P$94,C$5=P$96,C$5=P$97,C$5=P$98),(D62/18)*C$14,(D62/25)*C$14)</f>
        <v>0</v>
      </c>
      <c r="G62" s="17">
        <f t="shared" ref="G62" si="13">+(F62/30)*C$15</f>
        <v>0</v>
      </c>
    </row>
    <row r="63" spans="1:25" ht="12.95" hidden="1" customHeight="1" x14ac:dyDescent="0.25">
      <c r="A63" s="25"/>
      <c r="B63" s="25"/>
      <c r="C63" s="25"/>
      <c r="D63" s="25"/>
    </row>
    <row r="64" spans="1:25" ht="18" hidden="1" customHeight="1" x14ac:dyDescent="0.25">
      <c r="B64" s="303" t="s">
        <v>176</v>
      </c>
      <c r="C64" s="304"/>
      <c r="D64" s="305"/>
      <c r="N64" s="2"/>
    </row>
    <row r="65" spans="13:22" ht="18" hidden="1" customHeight="1" x14ac:dyDescent="0.25"/>
    <row r="67" spans="13:22" ht="12.95" hidden="1" customHeight="1" x14ac:dyDescent="0.25">
      <c r="M67" s="2"/>
    </row>
    <row r="68" spans="13:22" ht="12.95" hidden="1" customHeight="1" x14ac:dyDescent="0.25">
      <c r="N68" s="1">
        <v>0</v>
      </c>
      <c r="P68" s="37" t="s">
        <v>131</v>
      </c>
      <c r="S68" s="130" t="str">
        <f>+Retribuciones!AU24</f>
        <v>Complemento Especial Responsabilidad:</v>
      </c>
      <c r="T68" s="39"/>
      <c r="U68" s="1">
        <f>+Nómina!U68</f>
        <v>0</v>
      </c>
      <c r="V68" s="1">
        <f>+U68*78%</f>
        <v>0</v>
      </c>
    </row>
    <row r="69" spans="13:22" ht="12.95" hidden="1" customHeight="1" x14ac:dyDescent="0.25">
      <c r="N69" s="1">
        <v>1</v>
      </c>
      <c r="P69" s="37" t="s">
        <v>132</v>
      </c>
      <c r="S69" s="126" t="str">
        <f>+Retribuciones!AU25</f>
        <v>Director/ra CEIP, CEP, CEEE, EEI, CEPA. Coordinador CER. Tipo A (Más de 35 Unidades)</v>
      </c>
      <c r="T69" s="102">
        <f>+Retribuciones!AV25</f>
        <v>557.31999999999994</v>
      </c>
    </row>
    <row r="70" spans="13:22" ht="12.95" hidden="1" customHeight="1" x14ac:dyDescent="0.25">
      <c r="N70" s="1">
        <v>2</v>
      </c>
      <c r="P70" s="37" t="s">
        <v>57</v>
      </c>
      <c r="S70" s="126" t="str">
        <f>+Retribuciones!AU26</f>
        <v>Director/ra CEIP, CEP, CEEE, EEI, CEPA. Coordinador CER. Tipo B (27 a 35 Unidades)</v>
      </c>
      <c r="T70" s="102">
        <f>+Retribuciones!AV26</f>
        <v>508.49</v>
      </c>
    </row>
    <row r="71" spans="13:22" ht="12.95" hidden="1" customHeight="1" x14ac:dyDescent="0.25">
      <c r="M71" s="1" t="s">
        <v>47</v>
      </c>
      <c r="N71" s="1">
        <v>3</v>
      </c>
      <c r="S71" s="126" t="str">
        <f>+Retribuciones!AU27</f>
        <v>Director/ra CEIP, CEP, CEEE, EEI, CEPA. Coordinador CER. Tipo C (18 a 26 Unidades)</v>
      </c>
      <c r="T71" s="102">
        <f>+Retribuciones!AV27</f>
        <v>383.46999999999997</v>
      </c>
    </row>
    <row r="72" spans="13:22" ht="12.95" hidden="1" customHeight="1" x14ac:dyDescent="0.25">
      <c r="M72" s="1" t="s">
        <v>43</v>
      </c>
      <c r="N72" s="1">
        <v>4</v>
      </c>
      <c r="S72" s="127" t="str">
        <f>+Retribuciones!AU28</f>
        <v>Director/ra CEIP, CEP, CEEE, EEI, CEPA. Coordinador CER. Tipo D (9 a 17 Unidades)</v>
      </c>
      <c r="T72" s="102">
        <f>+Retribuciones!AV28</f>
        <v>291.77999999999997</v>
      </c>
    </row>
    <row r="73" spans="13:22" ht="12.95" hidden="1" customHeight="1" x14ac:dyDescent="0.25">
      <c r="N73" s="1">
        <v>5</v>
      </c>
      <c r="P73" s="38" t="s">
        <v>60</v>
      </c>
      <c r="S73" s="127" t="str">
        <f>+Retribuciones!AU29</f>
        <v>Director/ra CEIP, CEP, CEEE, EEI, CEPA. Coordinador CER. Tipo E (6 a 8 Unidades)</v>
      </c>
      <c r="T73" s="102">
        <f>+Retribuciones!AV29</f>
        <v>197.73</v>
      </c>
    </row>
    <row r="74" spans="13:22" ht="12.95" hidden="1" customHeight="1" x14ac:dyDescent="0.25">
      <c r="M74" s="1" t="s">
        <v>43</v>
      </c>
      <c r="N74" s="1">
        <v>6</v>
      </c>
      <c r="P74" s="38" t="s">
        <v>195</v>
      </c>
      <c r="S74" s="127" t="str">
        <f>+Retribuciones!AU30</f>
        <v>Director/ra CEIP, CEP, CEEE, EEI, CEPA. Coordinador CER. Tipo F (1 a 5 Unidades)</v>
      </c>
      <c r="T74" s="102">
        <f>+Retribuciones!AV30</f>
        <v>123.9</v>
      </c>
    </row>
    <row r="75" spans="13:22" ht="12.95" hidden="1" customHeight="1" x14ac:dyDescent="0.25">
      <c r="M75" s="1" t="s">
        <v>48</v>
      </c>
      <c r="N75" s="1">
        <v>7</v>
      </c>
      <c r="P75" s="38" t="s">
        <v>58</v>
      </c>
      <c r="S75" s="126" t="str">
        <f>+Retribuciones!AU31</f>
        <v>J. Estudios. CEIP, CEP, CEEE, EEI, CEPA. Tipo A (Más de 35 Unidades)</v>
      </c>
      <c r="T75" s="102">
        <f>+Retribuciones!AV31</f>
        <v>228.67999999999998</v>
      </c>
    </row>
    <row r="76" spans="13:22" ht="12.95" hidden="1" customHeight="1" x14ac:dyDescent="0.25">
      <c r="M76" s="1" t="s">
        <v>49</v>
      </c>
      <c r="N76" s="1">
        <v>8</v>
      </c>
      <c r="P76" s="38" t="s">
        <v>59</v>
      </c>
      <c r="S76" s="126" t="str">
        <f>+Retribuciones!AU32</f>
        <v>J. Estudios. CEIP, CEP, CEEE, EEI, CEPA. Tipo B (27 a 35 Unidades)</v>
      </c>
      <c r="T76" s="102">
        <f>+Retribuciones!AV32</f>
        <v>219.17</v>
      </c>
    </row>
    <row r="77" spans="13:22" ht="12.95" hidden="1" customHeight="1" x14ac:dyDescent="0.25">
      <c r="M77" s="1" t="s">
        <v>135</v>
      </c>
      <c r="N77" s="1">
        <v>9</v>
      </c>
      <c r="P77" s="38" t="s">
        <v>196</v>
      </c>
      <c r="S77" s="127" t="str">
        <f>+Retribuciones!AU33</f>
        <v>J. Estudios. CEIP, CEP, CEEE, EEI, CEPA. Tipo C (18 a 26 Unidades)</v>
      </c>
      <c r="T77" s="102">
        <f>+Retribuciones!AV33</f>
        <v>204.85</v>
      </c>
    </row>
    <row r="78" spans="13:22" ht="12.95" hidden="1" customHeight="1" x14ac:dyDescent="0.25">
      <c r="N78" s="1">
        <v>10</v>
      </c>
      <c r="P78" s="38" t="s">
        <v>61</v>
      </c>
      <c r="S78" s="126" t="str">
        <f>+Retribuciones!AU34</f>
        <v>J. Estudios. CEIP, CEP, CEEE, EEI, CEPA. Tipo D (9 a 17 Unidades)</v>
      </c>
      <c r="T78" s="102">
        <f>+Retribuciones!AV34</f>
        <v>159.60999999999999</v>
      </c>
    </row>
    <row r="79" spans="13:22" ht="12.95" hidden="1" customHeight="1" x14ac:dyDescent="0.25">
      <c r="N79" s="1">
        <v>11</v>
      </c>
      <c r="P79" s="38" t="s">
        <v>197</v>
      </c>
      <c r="S79" s="127" t="str">
        <f>+Retribuciones!AU35</f>
        <v>Secretario/a. CEIP, CEP, CEEE, EEI, CEPA. Tipo A (Más de 35 Unidades)</v>
      </c>
      <c r="T79" s="102">
        <f>+Retribuciones!AV35</f>
        <v>228.67999999999998</v>
      </c>
    </row>
    <row r="80" spans="13:22" ht="12.95" hidden="1" customHeight="1" x14ac:dyDescent="0.25">
      <c r="N80" s="1">
        <v>12</v>
      </c>
      <c r="P80" s="38" t="s">
        <v>198</v>
      </c>
      <c r="S80" s="126" t="str">
        <f>+Retribuciones!AU36</f>
        <v>Secretario/a. CEIP, CEP, CEEE, EEI, CEPA. Tipo B (27 a 35 Unidades)</v>
      </c>
      <c r="T80" s="102">
        <f>+Retribuciones!AV36</f>
        <v>219.17</v>
      </c>
    </row>
    <row r="81" spans="14:20" ht="12.95" hidden="1" customHeight="1" x14ac:dyDescent="0.25">
      <c r="N81" s="1">
        <v>13</v>
      </c>
      <c r="P81" s="38" t="s">
        <v>199</v>
      </c>
      <c r="S81" s="126" t="str">
        <f>+Retribuciones!AU37</f>
        <v>Secretario/a. CEIP, CEP, CEEE, EEI, CEPA. Tipo C (18 a 26 Unidades)</v>
      </c>
      <c r="T81" s="102">
        <f>+Retribuciones!AV37</f>
        <v>204.85</v>
      </c>
    </row>
    <row r="82" spans="14:20" ht="12.95" hidden="1" customHeight="1" x14ac:dyDescent="0.25">
      <c r="N82" s="1">
        <v>14</v>
      </c>
      <c r="P82" s="38" t="s">
        <v>200</v>
      </c>
      <c r="S82" s="126" t="str">
        <f>+Retribuciones!AU38</f>
        <v>Secretario/a. CEIP, CEP, CEEE, EEI, CEPA. Tipo D (9 a 17 Unidades)</v>
      </c>
      <c r="T82" s="102">
        <f>+Retribuciones!AV38</f>
        <v>159.60999999999999</v>
      </c>
    </row>
    <row r="83" spans="14:20" ht="12.95" hidden="1" customHeight="1" x14ac:dyDescent="0.25">
      <c r="N83" s="1">
        <v>15</v>
      </c>
      <c r="P83" s="38" t="s">
        <v>62</v>
      </c>
      <c r="S83" s="126" t="str">
        <f>+Retribuciones!AU39</f>
        <v>Secretario/a. CEIP, CEP, CEEE, EEI, CEPA. Tipo E (6 a 8 Unidades)</v>
      </c>
      <c r="T83" s="102">
        <f>+Retribuciones!AV39</f>
        <v>107.21000000000001</v>
      </c>
    </row>
    <row r="84" spans="14:20" ht="12.95" hidden="1" customHeight="1" x14ac:dyDescent="0.25">
      <c r="N84" s="1">
        <v>16</v>
      </c>
      <c r="P84" s="38" t="s">
        <v>201</v>
      </c>
      <c r="S84" s="126" t="str">
        <f>+Retribuciones!AU40</f>
        <v>Vicedirector/ra. CEIP, CEP, CEEE, EEI Tipo A (Más de 35 Unidades)</v>
      </c>
      <c r="T84" s="102">
        <f>+Retribuciones!AV40</f>
        <v>228.67999999999998</v>
      </c>
    </row>
    <row r="85" spans="14:20" ht="12.95" hidden="1" customHeight="1" x14ac:dyDescent="0.25">
      <c r="N85" s="1">
        <v>17</v>
      </c>
      <c r="P85" s="38" t="s">
        <v>63</v>
      </c>
      <c r="S85" s="126" t="str">
        <f>+Retribuciones!AU41</f>
        <v>Vicedirector/ra. CEIP, CEP, CEEE, EEI Tipo B (27 a 35 Unidades)</v>
      </c>
      <c r="T85" s="102">
        <f>+Retribuciones!AV41</f>
        <v>219.17</v>
      </c>
    </row>
    <row r="86" spans="14:20" ht="12.95" hidden="1" customHeight="1" x14ac:dyDescent="0.25">
      <c r="N86" s="1">
        <v>18</v>
      </c>
      <c r="P86" s="38" t="s">
        <v>64</v>
      </c>
      <c r="S86" s="127" t="str">
        <f>+Retribuciones!AU42</f>
        <v>Vicedirector/ra. CEIP, CEP, CEEE, EEI Tipo C (18 a 26 Unidades)</v>
      </c>
      <c r="T86" s="102">
        <f>+Retribuciones!AV42</f>
        <v>204.85</v>
      </c>
    </row>
    <row r="87" spans="14:20" ht="12.95" hidden="1" customHeight="1" x14ac:dyDescent="0.25">
      <c r="N87" s="1">
        <v>19</v>
      </c>
      <c r="P87" s="38" t="s">
        <v>202</v>
      </c>
      <c r="S87" s="128" t="str">
        <f>+Retribuciones!AU43</f>
        <v>Director/ra IES, CEO, EA. Centro Tipo A (1650 o más Alumnos)</v>
      </c>
      <c r="T87" s="102">
        <f>+Retribuciones!AV43</f>
        <v>700.47</v>
      </c>
    </row>
    <row r="88" spans="14:20" ht="12.95" hidden="1" customHeight="1" x14ac:dyDescent="0.25">
      <c r="N88" s="1">
        <v>20</v>
      </c>
      <c r="P88" s="38" t="s">
        <v>65</v>
      </c>
      <c r="S88" s="128" t="str">
        <f>+Retribuciones!AU44</f>
        <v>Director/ra IES, CEO, EA. Centro Tipo B (de 901 a 1649 Alumnos)</v>
      </c>
      <c r="T88" s="102">
        <f>+Retribuciones!AV44</f>
        <v>623.09</v>
      </c>
    </row>
    <row r="89" spans="14:20" ht="12.95" hidden="1" customHeight="1" x14ac:dyDescent="0.25">
      <c r="N89" s="1">
        <v>21</v>
      </c>
      <c r="P89" s="38" t="s">
        <v>203</v>
      </c>
      <c r="S89" s="128" t="str">
        <f>+Retribuciones!AU45</f>
        <v>Director/ra IES, CEO, EA. Centro Tipo C (de 581 a 900 Alumnos)</v>
      </c>
      <c r="T89" s="102">
        <f>+Retribuciones!AV45</f>
        <v>561.12</v>
      </c>
    </row>
    <row r="90" spans="14:20" ht="12.95" hidden="1" customHeight="1" x14ac:dyDescent="0.25">
      <c r="N90" s="1">
        <v>22</v>
      </c>
      <c r="S90" s="128" t="str">
        <f>+Retribuciones!AU46</f>
        <v>Director/ra IES, CEO, EA. Centro Tipo D (hasta 580 Alumnos)</v>
      </c>
      <c r="T90" s="102">
        <f>+Retribuciones!AV46</f>
        <v>511.08</v>
      </c>
    </row>
    <row r="91" spans="14:20" ht="12.95" hidden="1" customHeight="1" x14ac:dyDescent="0.25">
      <c r="N91" s="1">
        <v>23</v>
      </c>
      <c r="S91" s="128" t="str">
        <f>+Retribuciones!AU47</f>
        <v>Jefe Estudios IES, CEO, EA. Centro Tipo A (1650 o más Alumnos)</v>
      </c>
      <c r="T91" s="102">
        <f>+Retribuciones!AV47</f>
        <v>344.34999999999997</v>
      </c>
    </row>
    <row r="92" spans="14:20" ht="12.95" hidden="1" customHeight="1" x14ac:dyDescent="0.25">
      <c r="N92" s="1">
        <v>24</v>
      </c>
      <c r="P92" s="37" t="s">
        <v>71</v>
      </c>
      <c r="S92" s="129" t="str">
        <f>+Retribuciones!AU48</f>
        <v>Jefe Estudios IES, CEO, EA. Centro Tipo B (de 901 a 1649 Alumnos)</v>
      </c>
      <c r="T92" s="102">
        <f>+Retribuciones!AV48</f>
        <v>330.03999999999996</v>
      </c>
    </row>
    <row r="93" spans="14:20" ht="12.95" hidden="1" customHeight="1" x14ac:dyDescent="0.25">
      <c r="N93" s="1">
        <v>25</v>
      </c>
      <c r="P93" s="37" t="s">
        <v>72</v>
      </c>
      <c r="S93" s="129" t="str">
        <f>+Retribuciones!AU49</f>
        <v>Jefe Estudios IES, CEO, EA. Centro Tipo C (de 581 a 900 Alumnos)</v>
      </c>
      <c r="T93" s="102">
        <f>+Retribuciones!AV49</f>
        <v>256.17</v>
      </c>
    </row>
    <row r="94" spans="14:20" ht="12.95" hidden="1" customHeight="1" x14ac:dyDescent="0.25">
      <c r="N94" s="1">
        <v>26</v>
      </c>
      <c r="P94" s="37" t="s">
        <v>73</v>
      </c>
      <c r="S94" s="129" t="str">
        <f>+Retribuciones!AU50</f>
        <v>Jefe Estudios IES, CEO, EA. Centro Tipo D (hasta 580 Alumnos)</v>
      </c>
      <c r="T94" s="102">
        <f>+Retribuciones!AV50</f>
        <v>204.95999999999998</v>
      </c>
    </row>
    <row r="95" spans="14:20" ht="12.95" hidden="1" customHeight="1" x14ac:dyDescent="0.25">
      <c r="N95" s="1">
        <v>27</v>
      </c>
      <c r="P95" s="37" t="s">
        <v>74</v>
      </c>
      <c r="S95" s="129" t="str">
        <f>+Retribuciones!AU51</f>
        <v>Secretario/a IES, CEO, EA. Centro Tipo A (1650 o más Alumnos)</v>
      </c>
      <c r="T95" s="102">
        <f>+Retribuciones!AV51</f>
        <v>344.34999999999997</v>
      </c>
    </row>
    <row r="96" spans="14:20" ht="12.95" hidden="1" customHeight="1" x14ac:dyDescent="0.25">
      <c r="N96" s="1">
        <v>28</v>
      </c>
      <c r="P96" s="37" t="s">
        <v>75</v>
      </c>
      <c r="S96" s="129" t="str">
        <f>+Retribuciones!AU52</f>
        <v>Secretario/a IES, CEO, EA. Centro Tipo B (de 901 a 1649 Alumnos)</v>
      </c>
      <c r="T96" s="102">
        <f>+Retribuciones!AV52</f>
        <v>330.03999999999996</v>
      </c>
    </row>
    <row r="97" spans="13:20" ht="12.95" hidden="1" customHeight="1" x14ac:dyDescent="0.25">
      <c r="N97" s="1">
        <v>29</v>
      </c>
      <c r="P97" s="37" t="s">
        <v>76</v>
      </c>
      <c r="S97" s="128" t="str">
        <f>+Retribuciones!AU53</f>
        <v>Secretario/a IES, CEO, EA. Centro Tipo C (de 581 a 900 Alumnos)</v>
      </c>
      <c r="T97" s="102">
        <f>+Retribuciones!AV53</f>
        <v>256.17</v>
      </c>
    </row>
    <row r="98" spans="13:20" ht="12.95" hidden="1" customHeight="1" x14ac:dyDescent="0.25">
      <c r="N98" s="1">
        <v>30</v>
      </c>
      <c r="P98" s="37" t="s">
        <v>77</v>
      </c>
      <c r="S98" s="128" t="str">
        <f>+Retribuciones!AU54</f>
        <v>Secretario/a IES, CEO, EA. Centro Tipo D (hasta 580 Alumnos)</v>
      </c>
      <c r="T98" s="102">
        <f>+Retribuciones!AV54</f>
        <v>204.95999999999998</v>
      </c>
    </row>
    <row r="99" spans="13:20" ht="12.95" hidden="1" customHeight="1" x14ac:dyDescent="0.25">
      <c r="N99" s="1">
        <v>31</v>
      </c>
      <c r="P99" s="37" t="s">
        <v>78</v>
      </c>
      <c r="S99" s="128" t="str">
        <f>+Retribuciones!AU55</f>
        <v>Vicedirector/ra IES, CEO, EA. Centro Tipo A (1650 o más Alumnos)</v>
      </c>
      <c r="T99" s="102">
        <f>+Retribuciones!AV55</f>
        <v>344.34999999999997</v>
      </c>
    </row>
    <row r="100" spans="13:20" ht="12.95" hidden="1" customHeight="1" x14ac:dyDescent="0.25">
      <c r="N100" s="1">
        <v>32</v>
      </c>
      <c r="P100" s="37" t="s">
        <v>79</v>
      </c>
      <c r="S100" s="128" t="str">
        <f>+Retribuciones!AU56</f>
        <v>Vicedirector/ra IES, CEO, EA. Centro Tipo B (de 901 a 1649 Alumnos)</v>
      </c>
      <c r="T100" s="102">
        <f>+Retribuciones!AV56</f>
        <v>330.03999999999996</v>
      </c>
    </row>
    <row r="101" spans="13:20" ht="12.95" hidden="1" customHeight="1" x14ac:dyDescent="0.25">
      <c r="N101" s="1">
        <v>33</v>
      </c>
      <c r="P101" s="37" t="s">
        <v>273</v>
      </c>
      <c r="S101" s="128" t="str">
        <f>+Retribuciones!AU57</f>
        <v>Vicedirector/ra IES, CEO, EA. Centro Tipo C (de 581 a 900 Alumnos)</v>
      </c>
      <c r="T101" s="102">
        <f>+Retribuciones!AV57</f>
        <v>256.17</v>
      </c>
    </row>
    <row r="102" spans="13:20" ht="12.95" hidden="1" customHeight="1" x14ac:dyDescent="0.25">
      <c r="N102" s="1">
        <v>34</v>
      </c>
      <c r="P102" s="37" t="s">
        <v>218</v>
      </c>
      <c r="S102" s="128" t="str">
        <f>+Retribuciones!AU58</f>
        <v>Vicedirector/ra IES, CEO, EA. Centro Tipo D (hasta 580 Alumnos)</v>
      </c>
      <c r="T102" s="102">
        <f>+Retribuciones!AV58</f>
        <v>204.95999999999998</v>
      </c>
    </row>
    <row r="103" spans="13:20" ht="12.95" hidden="1" customHeight="1" x14ac:dyDescent="0.25">
      <c r="N103" s="1">
        <v>35</v>
      </c>
      <c r="P103" s="37" t="s">
        <v>219</v>
      </c>
      <c r="S103" s="128" t="str">
        <f>+Retribuciones!AU59</f>
        <v>Jefe Estudios Adjunto IES, CEO, EA. Centro Tipo A (1650 o más Alumnos)</v>
      </c>
      <c r="T103" s="102">
        <f>+Retribuciones!AV59</f>
        <v>172.19</v>
      </c>
    </row>
    <row r="104" spans="13:20" ht="12.95" hidden="1" customHeight="1" x14ac:dyDescent="0.25">
      <c r="N104" s="1">
        <v>36</v>
      </c>
      <c r="S104" s="129" t="str">
        <f>+Retribuciones!AU60</f>
        <v>Jefe Estudios Adjunto IES, CEO, EA. Centro Tipo B (de 901 a 1649 Alumnos)</v>
      </c>
      <c r="T104" s="102">
        <f>+Retribuciones!AV60</f>
        <v>165.04999999999998</v>
      </c>
    </row>
    <row r="105" spans="13:20" ht="12.95" hidden="1" customHeight="1" x14ac:dyDescent="0.25">
      <c r="N105" s="1">
        <v>37</v>
      </c>
      <c r="S105" s="129" t="str">
        <f>+Retribuciones!AU61</f>
        <v>Jefe Estudios Adjunto IES, CEO, EA. Centro Tipo C (de 581 a 900 Alumnos)</v>
      </c>
      <c r="T105" s="102">
        <f>+Retribuciones!AV61</f>
        <v>128.13</v>
      </c>
    </row>
    <row r="106" spans="13:20" ht="12.95" hidden="1" customHeight="1" x14ac:dyDescent="0.25">
      <c r="N106" s="1">
        <v>38</v>
      </c>
      <c r="S106" s="129" t="str">
        <f>+Retribuciones!AU62</f>
        <v>Jefe Estudios Adjunto IES, CEO, EA. Centro Tipo D (hasta 580 Alumnos)</v>
      </c>
      <c r="T106" s="102">
        <f>+Retribuciones!AV62</f>
        <v>102.53</v>
      </c>
    </row>
    <row r="107" spans="13:20" ht="12.95" hidden="1" customHeight="1" x14ac:dyDescent="0.25">
      <c r="N107" s="1">
        <v>39</v>
      </c>
      <c r="S107" s="14" t="str">
        <f>+Retribuciones!AU63</f>
        <v>Director de Centros de Profesores</v>
      </c>
      <c r="T107" s="102">
        <f>+Retribuciones!AV63</f>
        <v>367.13</v>
      </c>
    </row>
    <row r="108" spans="13:20" ht="12.95" hidden="1" customHeight="1" x14ac:dyDescent="0.25">
      <c r="N108" s="1">
        <v>40</v>
      </c>
      <c r="S108" s="14" t="str">
        <f>+Retribuciones!AU64</f>
        <v>Director de Residencia Escolar Permanente</v>
      </c>
      <c r="T108" s="102">
        <f>+Retribuciones!AV64</f>
        <v>340.71</v>
      </c>
    </row>
    <row r="109" spans="13:20" ht="12.95" hidden="1" customHeight="1" x14ac:dyDescent="0.25">
      <c r="N109" s="1">
        <v>41</v>
      </c>
      <c r="S109" s="13" t="str">
        <f>+Retribuciones!AU65</f>
        <v>Director de Residencia Escolar</v>
      </c>
      <c r="T109" s="102">
        <f>+Retribuciones!AV65</f>
        <v>177.35999999999999</v>
      </c>
    </row>
    <row r="110" spans="13:20" ht="12.95" hidden="1" customHeight="1" x14ac:dyDescent="0.25">
      <c r="N110" s="1">
        <v>42</v>
      </c>
      <c r="S110" s="13" t="str">
        <f>+Retribuciones!AU66</f>
        <v>Coordinador EOEP</v>
      </c>
      <c r="T110" s="102">
        <f>+Retribuciones!AV66</f>
        <v>106.82000000000001</v>
      </c>
    </row>
    <row r="111" spans="13:20" ht="12.95" hidden="1" customHeight="1" x14ac:dyDescent="0.25">
      <c r="M111" s="29"/>
      <c r="N111" s="1">
        <v>43</v>
      </c>
      <c r="S111" s="39" t="str">
        <f>+Retribuciones!AU69</f>
        <v>Otros complementos: Jefe departamento, Encargado comedor, Maestros en Residencia, otros</v>
      </c>
    </row>
    <row r="112" spans="13:20" ht="12.95" hidden="1" customHeight="1" x14ac:dyDescent="0.25">
      <c r="N112" s="1">
        <v>44</v>
      </c>
      <c r="S112" s="14" t="str">
        <f>+Retribuciones!AU70</f>
        <v>Jefe de Departamento</v>
      </c>
      <c r="T112" s="102">
        <f>+Retribuciones!AV70</f>
        <v>71.52000000000001</v>
      </c>
    </row>
    <row r="113" spans="14:20" ht="12.95" hidden="1" customHeight="1" x14ac:dyDescent="0.25">
      <c r="N113" s="1">
        <v>45</v>
      </c>
      <c r="S113" s="13" t="str">
        <f>+Retribuciones!AU67</f>
        <v>Coordinador de Servicios Centrales. Tipo A1 (A)</v>
      </c>
      <c r="T113" s="102">
        <f>+Retribuciones!AV67</f>
        <v>415.71999999999997</v>
      </c>
    </row>
    <row r="114" spans="14:20" ht="12.95" hidden="1" customHeight="1" x14ac:dyDescent="0.25">
      <c r="N114" s="1">
        <v>46</v>
      </c>
      <c r="S114" s="13" t="str">
        <f>+Retribuciones!AU68</f>
        <v>Coordinador de Servicios Centrales. Tipo A2 (B)</v>
      </c>
      <c r="T114" s="102">
        <f>+Retribuciones!AV68</f>
        <v>236.16</v>
      </c>
    </row>
    <row r="115" spans="14:20" ht="12.95" hidden="1" customHeight="1" x14ac:dyDescent="0.25">
      <c r="N115" s="1">
        <v>47</v>
      </c>
      <c r="S115" s="14" t="str">
        <f>+Retribuciones!AU71</f>
        <v>Encargado/a Comedor Gestión Directa. Módulo Hasta 100 comensales.</v>
      </c>
      <c r="T115" s="102">
        <f>+Retribuciones!AV71</f>
        <v>140.66</v>
      </c>
    </row>
    <row r="116" spans="14:20" ht="12.95" hidden="1" customHeight="1" x14ac:dyDescent="0.25">
      <c r="N116" s="1">
        <v>48</v>
      </c>
      <c r="S116" s="14" t="str">
        <f>+Retribuciones!AU72</f>
        <v>Encargado/a Comedor Gestión Directa. Módulo De 101 a 300 comensales.</v>
      </c>
      <c r="T116" s="102">
        <f>+Retribuciones!AV72</f>
        <v>148.32999999999998</v>
      </c>
    </row>
    <row r="117" spans="14:20" ht="12.95" hidden="1" customHeight="1" x14ac:dyDescent="0.25">
      <c r="N117" s="1">
        <v>49</v>
      </c>
      <c r="S117" s="14" t="str">
        <f>+Retribuciones!AU73</f>
        <v>Encargado/a Comedor Gestión Directa. Módulo Más de 300 comensales.</v>
      </c>
      <c r="T117" s="102">
        <f>+Retribuciones!AV73</f>
        <v>159.22999999999999</v>
      </c>
    </row>
    <row r="118" spans="14:20" ht="12.95" hidden="1" customHeight="1" x14ac:dyDescent="0.25">
      <c r="N118" s="1">
        <v>50</v>
      </c>
      <c r="S118" s="14" t="str">
        <f>+Retribuciones!AU74</f>
        <v>Encargado/a Comedor Gestión Contratada. Módulo Hasta 100 comensales.</v>
      </c>
      <c r="T118" s="102">
        <f>+Retribuciones!AV74</f>
        <v>122.80000000000001</v>
      </c>
    </row>
    <row r="119" spans="14:20" ht="12.95" hidden="1" customHeight="1" x14ac:dyDescent="0.25">
      <c r="N119" s="1">
        <v>51</v>
      </c>
      <c r="S119" s="13" t="str">
        <f>+Retribuciones!AU75</f>
        <v>Encargado/a Comedor Gestión Contratada. Módulo De 101 a 300 comensales.</v>
      </c>
      <c r="T119" s="102">
        <f>+Retribuciones!AV75</f>
        <v>129.66</v>
      </c>
    </row>
    <row r="120" spans="14:20" ht="12.95" hidden="1" customHeight="1" x14ac:dyDescent="0.25">
      <c r="N120" s="1">
        <v>52</v>
      </c>
      <c r="S120" s="13" t="str">
        <f>+Retribuciones!AU76</f>
        <v>Encargado/a Comedor Gestión Contratada. Módulo Más de 300 comensales.</v>
      </c>
      <c r="T120" s="102">
        <f>+Retribuciones!AV76</f>
        <v>137.03</v>
      </c>
    </row>
    <row r="121" spans="14:20" ht="12.95" hidden="1" customHeight="1" x14ac:dyDescent="0.25">
      <c r="N121" s="1">
        <v>53</v>
      </c>
      <c r="S121" s="13" t="str">
        <f>+Retribuciones!AU77</f>
        <v>Maestros de Ocio con Residencia Permanente</v>
      </c>
      <c r="T121" s="102">
        <f>+Retribuciones!AV77</f>
        <v>153.87</v>
      </c>
    </row>
    <row r="122" spans="14:20" ht="12.95" hidden="1" customHeight="1" x14ac:dyDescent="0.25">
      <c r="N122" s="1">
        <v>54</v>
      </c>
      <c r="S122" s="13" t="str">
        <f>+Retribuciones!AU78</f>
        <v>Hora Lectiva Complementaria, Refuerzo Educativo. Grupo A1</v>
      </c>
      <c r="T122" s="102">
        <f>+Retribuciones!AV78</f>
        <v>20.84</v>
      </c>
    </row>
    <row r="123" spans="14:20" ht="12.95" hidden="1" customHeight="1" x14ac:dyDescent="0.25">
      <c r="N123" s="1">
        <v>55</v>
      </c>
      <c r="S123" s="13" t="str">
        <f>+Retribuciones!AU79</f>
        <v>Hora Lectiva Complementaria, Refuerzo Educativo. Grupo A2</v>
      </c>
      <c r="T123" s="102">
        <f>+Retribuciones!AV79</f>
        <v>17.73</v>
      </c>
    </row>
    <row r="124" spans="14:20" ht="12.95" hidden="1" customHeight="1" x14ac:dyDescent="0.25">
      <c r="N124" s="1">
        <v>56</v>
      </c>
      <c r="S124" s="14" t="str">
        <f>+Retribuciones!AU80</f>
        <v>Maestros de Primero y Segundo de Enseñanza Secundaria Obligatoria</v>
      </c>
      <c r="T124" s="102">
        <f>+Retribuciones!AV80</f>
        <v>80.850000000000009</v>
      </c>
    </row>
    <row r="125" spans="14:20" ht="12.95" hidden="1" customHeight="1" x14ac:dyDescent="0.25">
      <c r="N125" s="1">
        <v>57</v>
      </c>
      <c r="S125" s="132" t="str">
        <f>+Retribuciones!AU81</f>
        <v>Otros complementos: Tutoría, AICLE/PILE, Coordinación</v>
      </c>
    </row>
    <row r="126" spans="14:20" ht="12.95" hidden="1" customHeight="1" x14ac:dyDescent="0.25">
      <c r="N126" s="1">
        <v>58</v>
      </c>
      <c r="S126" s="14" t="str">
        <f>+Retribuciones!AU82</f>
        <v xml:space="preserve">Coordinador/a Formación en Centros de Trabajo </v>
      </c>
      <c r="T126" s="102">
        <f>+Retribuciones!AV82</f>
        <v>71.52000000000001</v>
      </c>
    </row>
    <row r="127" spans="14:20" ht="12.95" hidden="1" customHeight="1" x14ac:dyDescent="0.25">
      <c r="N127" s="1">
        <v>59</v>
      </c>
      <c r="S127" s="14" t="str">
        <f>+Retribuciones!AU83</f>
        <v>Tutoría</v>
      </c>
      <c r="T127" s="102">
        <f>+Retribuciones!AV83</f>
        <v>35</v>
      </c>
    </row>
    <row r="128" spans="14:20" ht="12.95" hidden="1" customHeight="1" x14ac:dyDescent="0.25">
      <c r="N128" s="1">
        <v>60</v>
      </c>
      <c r="S128" s="14" t="str">
        <f>+Retribuciones!AU84</f>
        <v>Impartición docencia en lengua extranjera. Maestros de Inglés sin B2, ni C1, ni C2</v>
      </c>
      <c r="T128" s="102">
        <f>+Retribuciones!AV84</f>
        <v>35</v>
      </c>
    </row>
    <row r="129" spans="14:31" ht="12.95" hidden="1" customHeight="1" x14ac:dyDescent="0.25">
      <c r="N129" s="1">
        <v>61</v>
      </c>
      <c r="S129" s="14" t="str">
        <f>+Retribuciones!AU85</f>
        <v>Impartición docencia en lengua extranjera. Profesorado con B2</v>
      </c>
      <c r="T129" s="102">
        <f>+Retribuciones!AV85</f>
        <v>35</v>
      </c>
    </row>
    <row r="130" spans="14:31" ht="12.95" hidden="1" customHeight="1" x14ac:dyDescent="0.25">
      <c r="N130" s="1">
        <v>62</v>
      </c>
      <c r="S130" s="14" t="str">
        <f>+Retribuciones!AU86</f>
        <v>Impartición docencia en lengua extranjera. Profesorado con C1 o C2</v>
      </c>
      <c r="T130" s="102">
        <f>+Retribuciones!AV86</f>
        <v>45</v>
      </c>
    </row>
    <row r="131" spans="14:31" ht="12.95" hidden="1" customHeight="1" x14ac:dyDescent="0.25">
      <c r="N131" s="1">
        <v>63</v>
      </c>
      <c r="S131" s="14" t="str">
        <f>+Retribuciones!AU87</f>
        <v>Coordinación impartición docencia en lengua extranjera. Nivel B2</v>
      </c>
      <c r="T131" s="102">
        <f>+Retribuciones!AV87</f>
        <v>45</v>
      </c>
    </row>
    <row r="132" spans="14:31" ht="12.95" hidden="1" customHeight="1" x14ac:dyDescent="0.25">
      <c r="N132" s="1">
        <v>64</v>
      </c>
      <c r="S132" s="14" t="str">
        <f>+Retribuciones!AU88</f>
        <v>Coordinación impartición docencia en lengua extranjera. Nivel C1 o C2</v>
      </c>
      <c r="T132" s="102">
        <f>+Retribuciones!AV88</f>
        <v>55</v>
      </c>
    </row>
    <row r="133" spans="14:31" ht="12.95" hidden="1" customHeight="1" x14ac:dyDescent="0.25">
      <c r="N133" s="1">
        <v>65</v>
      </c>
      <c r="S133" s="14" t="str">
        <f>+Retribuciones!AU89</f>
        <v>Coordinación en convivencia</v>
      </c>
      <c r="T133" s="102">
        <f>+Retribuciones!AV89</f>
        <v>30</v>
      </c>
    </row>
    <row r="134" spans="14:31" ht="12.95" hidden="1" customHeight="1" x14ac:dyDescent="0.25">
      <c r="N134" s="1">
        <v>66</v>
      </c>
      <c r="S134" s="14" t="str">
        <f>+Retribuciones!AU90</f>
        <v>Coordinación en prevención de riesgos laborales</v>
      </c>
      <c r="T134" s="102">
        <f>+Retribuciones!AV90</f>
        <v>30</v>
      </c>
    </row>
    <row r="135" spans="14:31" ht="12.95" hidden="1" customHeight="1" x14ac:dyDescent="0.25">
      <c r="N135" s="1">
        <v>67</v>
      </c>
      <c r="Q135" s="37"/>
      <c r="R135" s="37"/>
      <c r="S135" s="209"/>
      <c r="T135" s="209"/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  <c r="AE135" s="37"/>
    </row>
    <row r="136" spans="14:31" ht="12.95" hidden="1" customHeight="1" x14ac:dyDescent="0.25">
      <c r="N136" s="1">
        <v>68</v>
      </c>
      <c r="S136" s="209"/>
      <c r="T136" s="209"/>
    </row>
    <row r="137" spans="14:31" ht="12.95" hidden="1" customHeight="1" x14ac:dyDescent="0.25">
      <c r="N137" s="1">
        <v>69</v>
      </c>
      <c r="S137" s="132" t="s">
        <v>256</v>
      </c>
    </row>
    <row r="138" spans="14:31" ht="12.95" hidden="1" customHeight="1" x14ac:dyDescent="0.25">
      <c r="N138" s="1">
        <v>70</v>
      </c>
      <c r="S138" s="14" t="str">
        <f>+Retribuciones!AU84</f>
        <v>Impartición docencia en lengua extranjera. Maestros de Inglés sin B2, ni C1, ni C2</v>
      </c>
      <c r="T138" s="102">
        <f>+Retribuciones!AV84</f>
        <v>35</v>
      </c>
    </row>
    <row r="139" spans="14:31" ht="12.95" hidden="1" customHeight="1" x14ac:dyDescent="0.25">
      <c r="N139" s="1">
        <v>71</v>
      </c>
      <c r="S139" s="14" t="str">
        <f>+Retribuciones!AU85</f>
        <v>Impartición docencia en lengua extranjera. Profesorado con B2</v>
      </c>
      <c r="T139" s="102">
        <f>+Retribuciones!AV85</f>
        <v>35</v>
      </c>
    </row>
    <row r="140" spans="14:31" ht="12.95" hidden="1" customHeight="1" x14ac:dyDescent="0.25">
      <c r="N140" s="1">
        <v>72</v>
      </c>
      <c r="S140" s="14" t="str">
        <f>+Retribuciones!AU86</f>
        <v>Impartición docencia en lengua extranjera. Profesorado con C1 o C2</v>
      </c>
      <c r="T140" s="102">
        <f>+Retribuciones!AV86</f>
        <v>45</v>
      </c>
    </row>
    <row r="141" spans="14:31" ht="12.95" hidden="1" customHeight="1" x14ac:dyDescent="0.25">
      <c r="S141" s="14" t="str">
        <f>+Retribuciones!AU87</f>
        <v>Coordinación impartición docencia en lengua extranjera. Nivel B2</v>
      </c>
      <c r="T141" s="102">
        <f>+Retribuciones!AV87</f>
        <v>45</v>
      </c>
    </row>
    <row r="142" spans="14:31" ht="12.95" hidden="1" customHeight="1" x14ac:dyDescent="0.25">
      <c r="S142" s="14" t="str">
        <f>+Retribuciones!AU88</f>
        <v>Coordinación impartición docencia en lengua extranjera. Nivel C1 o C2</v>
      </c>
      <c r="T142" s="102">
        <f>+Retribuciones!AV88</f>
        <v>55</v>
      </c>
    </row>
    <row r="143" spans="14:31" ht="12.95" hidden="1" customHeight="1" x14ac:dyDescent="0.25">
      <c r="S143" s="14" t="str">
        <f>+Retribuciones!AU89</f>
        <v>Coordinación en convivencia</v>
      </c>
      <c r="T143" s="102">
        <f>+Retribuciones!AV89</f>
        <v>30</v>
      </c>
    </row>
    <row r="144" spans="14:31" ht="12.95" hidden="1" customHeight="1" x14ac:dyDescent="0.25">
      <c r="S144" s="14" t="str">
        <f>+Retribuciones!AU90</f>
        <v>Coordinación en prevención de riesgos laborales</v>
      </c>
      <c r="T144" s="102">
        <f>+Retribuciones!AV90</f>
        <v>30</v>
      </c>
    </row>
    <row r="145" spans="6:20" ht="12.95" hidden="1" customHeight="1" x14ac:dyDescent="0.25">
      <c r="S145" s="57"/>
      <c r="T145" s="57"/>
    </row>
    <row r="146" spans="6:20" ht="12.95" hidden="1" customHeight="1" x14ac:dyDescent="0.25">
      <c r="S146" s="57"/>
      <c r="T146" s="57"/>
    </row>
    <row r="160" spans="6:20" ht="12.95" hidden="1" customHeight="1" x14ac:dyDescent="0.25">
      <c r="F160" s="1">
        <v>333</v>
      </c>
    </row>
  </sheetData>
  <sheetProtection algorithmName="SHA-512" hashValue="vSugubQ34DA/2rwjBSV+xwhpaEmmu7wcPF+tr21yjZyp67xStAAKUNjygR0qZqxcw5r35a7S2Y8Zbg8HFydSIQ==" saltValue="/0I2Q7lAvlkEVQmx96ouKg==" spinCount="100000" sheet="1" selectLockedCells="1"/>
  <mergeCells count="30">
    <mergeCell ref="F5:G5"/>
    <mergeCell ref="B59:C59"/>
    <mergeCell ref="C6:D6"/>
    <mergeCell ref="B1:E1"/>
    <mergeCell ref="B3:E3"/>
    <mergeCell ref="B2:E2"/>
    <mergeCell ref="C5:E5"/>
    <mergeCell ref="C14:D14"/>
    <mergeCell ref="C15:D15"/>
    <mergeCell ref="D19:G19"/>
    <mergeCell ref="D20:E20"/>
    <mergeCell ref="F20:G20"/>
    <mergeCell ref="C11:D11"/>
    <mergeCell ref="C12:D12"/>
    <mergeCell ref="E6:E10"/>
    <mergeCell ref="B64:D64"/>
    <mergeCell ref="B40:C40"/>
    <mergeCell ref="B41:C41"/>
    <mergeCell ref="C7:D7"/>
    <mergeCell ref="C9:D9"/>
    <mergeCell ref="C10:D10"/>
    <mergeCell ref="C13:D13"/>
    <mergeCell ref="C16:D16"/>
    <mergeCell ref="C17:D17"/>
    <mergeCell ref="B44:C44"/>
    <mergeCell ref="B60:C60"/>
    <mergeCell ref="B42:C42"/>
    <mergeCell ref="B43:C43"/>
    <mergeCell ref="C8:D8"/>
    <mergeCell ref="C47:G47"/>
  </mergeCells>
  <dataValidations disablePrompts="1" xWindow="874" yWindow="233" count="3">
    <dataValidation type="list" allowBlank="1" showInputMessage="1" showErrorMessage="1" promptTitle="Nómina con Paga Extra" prompt=" " sqref="C65545" xr:uid="{00000000-0002-0000-0000-000000000000}">
      <formula1>#REF!</formula1>
    </dataValidation>
    <dataValidation type="list" allowBlank="1" showInputMessage="1" showErrorMessage="1" promptTitle="Destino en Isla No Capitalina" prompt=" " sqref="C65543" xr:uid="{00000000-0002-0000-0000-000001000000}">
      <formula1>#REF!</formula1>
    </dataValidation>
    <dataValidation type="list" allowBlank="1" showErrorMessage="1" promptTitle="DESTINO EN ISLA NO CAPITALINA" prompt="-Si se tienen destino en una isla capitalina, seleccionar = N_x000a_-Si se tiene destino en una isla no capitalina, seleccionar = S" sqref="C13" xr:uid="{00000000-0002-0000-0000-000002000000}">
      <formula1>$M$71:$M$72</formula1>
    </dataValidation>
  </dataValidations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I36"/>
  <sheetViews>
    <sheetView workbookViewId="0">
      <selection activeCell="B18" sqref="B18"/>
    </sheetView>
  </sheetViews>
  <sheetFormatPr baseColWidth="10" defaultRowHeight="15" x14ac:dyDescent="0.25"/>
  <cols>
    <col min="1" max="1" width="82.85546875" style="39" customWidth="1"/>
    <col min="2" max="2" width="11.85546875" style="39" bestFit="1" customWidth="1"/>
    <col min="3" max="3" width="11.85546875" style="39" hidden="1" customWidth="1"/>
    <col min="4" max="4" width="1.85546875" style="39" hidden="1" customWidth="1"/>
    <col min="5" max="5" width="26.5703125" style="39" bestFit="1" customWidth="1"/>
    <col min="6" max="6" width="12.140625" style="39" bestFit="1" customWidth="1"/>
    <col min="7" max="7" width="10.7109375" style="39" customWidth="1"/>
    <col min="8" max="8" width="49.85546875" style="39" hidden="1" customWidth="1"/>
    <col min="9" max="9" width="0" style="39" hidden="1" customWidth="1"/>
    <col min="10" max="16384" width="11.42578125" style="39"/>
  </cols>
  <sheetData>
    <row r="1" spans="1:9" ht="15.75" x14ac:dyDescent="0.25">
      <c r="A1" s="352" t="s">
        <v>92</v>
      </c>
      <c r="B1" s="353"/>
      <c r="C1" s="353"/>
      <c r="D1" s="41"/>
      <c r="H1" s="40" t="s">
        <v>98</v>
      </c>
    </row>
    <row r="2" spans="1:9" ht="15.75" x14ac:dyDescent="0.25">
      <c r="A2" s="354" t="s">
        <v>93</v>
      </c>
      <c r="B2" s="354"/>
      <c r="C2" s="354"/>
      <c r="D2" s="41"/>
      <c r="H2" s="40" t="s">
        <v>130</v>
      </c>
    </row>
    <row r="3" spans="1:9" ht="5.25" customHeight="1" x14ac:dyDescent="0.25">
      <c r="A3" s="41"/>
      <c r="B3" s="41"/>
      <c r="C3" s="41"/>
      <c r="D3" s="41"/>
      <c r="H3" s="39">
        <v>0</v>
      </c>
    </row>
    <row r="4" spans="1:9" x14ac:dyDescent="0.25">
      <c r="A4" s="349" t="s">
        <v>94</v>
      </c>
      <c r="B4" s="349"/>
      <c r="C4" s="42" t="s">
        <v>95</v>
      </c>
      <c r="D4" s="41"/>
      <c r="H4" s="39">
        <v>1</v>
      </c>
    </row>
    <row r="5" spans="1:9" hidden="1" x14ac:dyDescent="0.25">
      <c r="A5" s="43" t="s">
        <v>96</v>
      </c>
      <c r="B5" s="44"/>
      <c r="C5" s="45">
        <v>5550</v>
      </c>
      <c r="D5" s="41"/>
      <c r="H5" s="39">
        <v>2</v>
      </c>
    </row>
    <row r="6" spans="1:9" x14ac:dyDescent="0.25">
      <c r="A6" s="350" t="s">
        <v>180</v>
      </c>
      <c r="B6" s="351"/>
      <c r="C6" s="45">
        <f>IF(A6=H17,I17,IF(A6=H18,I18,IF(A6=H19,I19+I18,0)))</f>
        <v>0</v>
      </c>
      <c r="D6" s="41"/>
      <c r="E6" s="124" t="s">
        <v>183</v>
      </c>
      <c r="F6" s="40"/>
      <c r="G6" s="40"/>
      <c r="H6" s="39">
        <v>3</v>
      </c>
    </row>
    <row r="7" spans="1:9" x14ac:dyDescent="0.25">
      <c r="A7" s="350" t="s">
        <v>179</v>
      </c>
      <c r="B7" s="351"/>
      <c r="C7" s="41"/>
      <c r="D7" s="41"/>
      <c r="E7" s="124" t="s">
        <v>183</v>
      </c>
      <c r="F7" s="40"/>
      <c r="G7" s="40"/>
      <c r="H7" s="39">
        <v>4</v>
      </c>
    </row>
    <row r="8" spans="1:9" ht="7.5" customHeight="1" x14ac:dyDescent="0.25">
      <c r="A8" s="41"/>
      <c r="B8" s="41"/>
      <c r="C8" s="41"/>
      <c r="D8" s="41"/>
      <c r="E8" s="40"/>
      <c r="F8" s="40"/>
      <c r="G8" s="40"/>
      <c r="H8" s="39">
        <v>5</v>
      </c>
    </row>
    <row r="9" spans="1:9" x14ac:dyDescent="0.25">
      <c r="A9" s="349" t="s">
        <v>100</v>
      </c>
      <c r="B9" s="349"/>
      <c r="C9" s="41"/>
      <c r="D9" s="41"/>
      <c r="E9" s="40"/>
      <c r="F9" s="40"/>
      <c r="G9" s="40"/>
      <c r="H9" s="39">
        <v>6</v>
      </c>
    </row>
    <row r="10" spans="1:9" x14ac:dyDescent="0.25">
      <c r="A10" s="46" t="s">
        <v>101</v>
      </c>
      <c r="B10" s="47" t="s">
        <v>98</v>
      </c>
      <c r="C10" s="41"/>
      <c r="D10" s="41"/>
      <c r="E10" s="124" t="s">
        <v>183</v>
      </c>
      <c r="F10" s="40"/>
      <c r="G10" s="40"/>
      <c r="H10" s="39">
        <v>7</v>
      </c>
    </row>
    <row r="11" spans="1:9" x14ac:dyDescent="0.25">
      <c r="A11" s="46" t="s">
        <v>102</v>
      </c>
      <c r="B11" s="48">
        <v>0</v>
      </c>
      <c r="C11" s="45">
        <f>IF(B10="si",IF(B11=1,2400,IF(B11=2,2400+2700,IF(B11=3,2400+2700+4000,IF(B11=4,2400+2700+4000+4500,IF(B11&gt;4,2400+2700+4000+4500+((B11-4)*4500),0))))),(IF(B11=1,2400,IF(B11=2,2400+2700,IF(B11=3,2400+2700+4000,IF(B11=4,2400+2700+4000+4500,IF(B11&gt;4,2400+2700+4000+4500+((B11-4)*4500),0))))))/2)</f>
        <v>0</v>
      </c>
      <c r="E11" s="124" t="s">
        <v>183</v>
      </c>
      <c r="F11" s="40"/>
      <c r="G11" s="40"/>
      <c r="H11" s="39">
        <v>8</v>
      </c>
    </row>
    <row r="12" spans="1:9" x14ac:dyDescent="0.25">
      <c r="A12" s="46" t="s">
        <v>103</v>
      </c>
      <c r="B12" s="48">
        <v>0</v>
      </c>
      <c r="C12" s="64">
        <f>IF(B10="SI",+B12*2800,(+B12*2800)/2)</f>
        <v>0</v>
      </c>
      <c r="D12" s="41"/>
      <c r="E12" s="124" t="s">
        <v>183</v>
      </c>
      <c r="F12" s="40"/>
      <c r="G12" s="40"/>
    </row>
    <row r="13" spans="1:9" x14ac:dyDescent="0.25">
      <c r="A13" s="49" t="s">
        <v>104</v>
      </c>
      <c r="B13" s="48">
        <v>0</v>
      </c>
      <c r="C13" s="45">
        <f>IF(B10="SI",(B13*3000),(B13*3000)/2)</f>
        <v>0</v>
      </c>
      <c r="D13" s="41"/>
      <c r="E13" s="124" t="s">
        <v>183</v>
      </c>
      <c r="F13" s="40"/>
      <c r="G13" s="40"/>
      <c r="H13" s="40" t="s">
        <v>179</v>
      </c>
      <c r="I13" s="39">
        <v>0</v>
      </c>
    </row>
    <row r="14" spans="1:9" x14ac:dyDescent="0.25">
      <c r="A14" s="49" t="s">
        <v>105</v>
      </c>
      <c r="B14" s="48">
        <v>0</v>
      </c>
      <c r="C14" s="45">
        <f>IF(B10="SI",(B14*9000),(B14*9000)/2)</f>
        <v>0</v>
      </c>
      <c r="D14" s="41"/>
      <c r="E14" s="124" t="s">
        <v>183</v>
      </c>
      <c r="F14" s="40"/>
      <c r="G14" s="40"/>
      <c r="H14" s="40" t="s">
        <v>97</v>
      </c>
      <c r="I14" s="39">
        <v>3000</v>
      </c>
    </row>
    <row r="15" spans="1:9" ht="6" customHeight="1" x14ac:dyDescent="0.25">
      <c r="A15" s="50"/>
      <c r="B15" s="50"/>
      <c r="C15" s="50"/>
      <c r="D15" s="41"/>
      <c r="E15" s="40"/>
      <c r="F15" s="40"/>
      <c r="G15" s="40"/>
      <c r="H15" s="39" t="s">
        <v>99</v>
      </c>
      <c r="I15" s="39">
        <v>9000</v>
      </c>
    </row>
    <row r="16" spans="1:9" x14ac:dyDescent="0.25">
      <c r="A16" s="349" t="s">
        <v>106</v>
      </c>
      <c r="B16" s="349"/>
      <c r="C16" s="50"/>
      <c r="D16" s="41"/>
      <c r="E16" s="40"/>
      <c r="F16" s="40"/>
      <c r="G16" s="40"/>
      <c r="H16" s="40"/>
    </row>
    <row r="17" spans="1:9" x14ac:dyDescent="0.25">
      <c r="A17" s="51" t="s">
        <v>107</v>
      </c>
      <c r="B17" s="48">
        <v>1</v>
      </c>
      <c r="C17" s="50"/>
      <c r="D17" s="41"/>
      <c r="E17" s="124" t="s">
        <v>183</v>
      </c>
      <c r="F17" s="40"/>
      <c r="G17" s="40"/>
      <c r="H17" s="40" t="s">
        <v>180</v>
      </c>
      <c r="I17" s="39">
        <v>0</v>
      </c>
    </row>
    <row r="18" spans="1:9" x14ac:dyDescent="0.25">
      <c r="A18" s="46" t="s">
        <v>108</v>
      </c>
      <c r="B18" s="48">
        <v>0</v>
      </c>
      <c r="C18" s="355">
        <f>((+B18*1150)+(B19*(1150+1400)))/B17</f>
        <v>0</v>
      </c>
      <c r="D18" s="41"/>
      <c r="E18" s="124" t="s">
        <v>183</v>
      </c>
      <c r="F18" s="40"/>
      <c r="G18" s="40"/>
      <c r="H18" s="40" t="s">
        <v>182</v>
      </c>
      <c r="I18" s="39">
        <v>1150</v>
      </c>
    </row>
    <row r="19" spans="1:9" x14ac:dyDescent="0.25">
      <c r="A19" s="46" t="s">
        <v>109</v>
      </c>
      <c r="B19" s="48">
        <v>0</v>
      </c>
      <c r="C19" s="355"/>
      <c r="D19" s="41"/>
      <c r="E19" s="124" t="s">
        <v>183</v>
      </c>
      <c r="F19" s="40"/>
      <c r="G19" s="40"/>
      <c r="H19" s="39" t="s">
        <v>181</v>
      </c>
      <c r="I19" s="39">
        <v>1400</v>
      </c>
    </row>
    <row r="20" spans="1:9" x14ac:dyDescent="0.25">
      <c r="A20" s="49" t="s">
        <v>110</v>
      </c>
      <c r="B20" s="48">
        <v>0</v>
      </c>
      <c r="C20" s="45">
        <f>(B20*3000)/B17</f>
        <v>0</v>
      </c>
      <c r="D20" s="41"/>
      <c r="E20" s="124" t="s">
        <v>183</v>
      </c>
      <c r="F20" s="40"/>
      <c r="G20" s="40"/>
    </row>
    <row r="21" spans="1:9" x14ac:dyDescent="0.25">
      <c r="A21" s="49" t="s">
        <v>111</v>
      </c>
      <c r="B21" s="48">
        <v>0</v>
      </c>
      <c r="C21" s="45">
        <f>+(B21*9000)/B17</f>
        <v>0</v>
      </c>
      <c r="D21" s="41"/>
      <c r="E21" s="124" t="s">
        <v>183</v>
      </c>
      <c r="F21" s="40"/>
      <c r="G21" s="40"/>
    </row>
    <row r="22" spans="1:9" ht="5.25" customHeight="1" x14ac:dyDescent="0.25">
      <c r="A22" s="41"/>
      <c r="B22" s="41"/>
      <c r="C22" s="41"/>
      <c r="D22" s="41"/>
      <c r="E22" s="40"/>
      <c r="F22" s="40"/>
      <c r="G22" s="40"/>
    </row>
    <row r="23" spans="1:9" x14ac:dyDescent="0.25">
      <c r="A23" s="349" t="s">
        <v>112</v>
      </c>
      <c r="B23" s="349"/>
      <c r="C23" s="41"/>
      <c r="D23" s="41"/>
      <c r="E23" s="40"/>
      <c r="F23" s="40"/>
      <c r="G23" s="40"/>
    </row>
    <row r="24" spans="1:9" x14ac:dyDescent="0.25">
      <c r="A24" s="52" t="s">
        <v>113</v>
      </c>
      <c r="B24" s="53">
        <f>+Nóminab!D59</f>
        <v>38569.24</v>
      </c>
      <c r="C24" s="41"/>
      <c r="D24" s="41"/>
      <c r="E24" s="40"/>
      <c r="F24" s="40"/>
      <c r="G24" s="40"/>
    </row>
    <row r="25" spans="1:9" ht="4.5" customHeight="1" x14ac:dyDescent="0.25">
      <c r="A25" s="41"/>
      <c r="B25" s="41"/>
      <c r="C25" s="41"/>
      <c r="D25" s="41"/>
    </row>
    <row r="26" spans="1:9" x14ac:dyDescent="0.25">
      <c r="A26" s="349" t="s">
        <v>114</v>
      </c>
      <c r="B26" s="349"/>
      <c r="C26" s="41"/>
      <c r="D26" s="41"/>
    </row>
    <row r="27" spans="1:9" hidden="1" x14ac:dyDescent="0.25">
      <c r="A27" s="43" t="s">
        <v>115</v>
      </c>
      <c r="B27" s="54">
        <v>2000</v>
      </c>
      <c r="C27" s="41"/>
      <c r="D27" s="41"/>
    </row>
    <row r="28" spans="1:9" x14ac:dyDescent="0.25">
      <c r="A28" s="43" t="s">
        <v>123</v>
      </c>
      <c r="B28" s="54">
        <f>-Nóminab!D60</f>
        <v>2377.1467399999997</v>
      </c>
      <c r="C28" s="41"/>
      <c r="D28" s="41"/>
    </row>
    <row r="29" spans="1:9" hidden="1" x14ac:dyDescent="0.25">
      <c r="A29" s="46" t="str">
        <f>+A7</f>
        <v>Sin discapacidad</v>
      </c>
      <c r="B29" s="45">
        <f>IF(A7=H14,I14,IF(A7=H15,I15,0))</f>
        <v>0</v>
      </c>
      <c r="C29" s="41"/>
      <c r="D29" s="41"/>
    </row>
    <row r="30" spans="1:9" hidden="1" x14ac:dyDescent="0.25">
      <c r="A30" s="49" t="s">
        <v>116</v>
      </c>
      <c r="B30" s="54">
        <f>IF(B11&gt;2,600,0)</f>
        <v>0</v>
      </c>
      <c r="C30" s="41"/>
      <c r="D30" s="41"/>
    </row>
    <row r="31" spans="1:9" x14ac:dyDescent="0.25">
      <c r="A31" s="43" t="s">
        <v>184</v>
      </c>
      <c r="B31" s="125"/>
      <c r="C31" s="41"/>
      <c r="D31" s="41"/>
    </row>
    <row r="32" spans="1:9" hidden="1" x14ac:dyDescent="0.25">
      <c r="A32" s="55" t="s">
        <v>117</v>
      </c>
      <c r="B32" s="54">
        <f>+B24-B28-B27-B29-B30-B31</f>
        <v>34192.093260000001</v>
      </c>
      <c r="C32" s="53">
        <f>SUM(C5:C31)</f>
        <v>5550</v>
      </c>
      <c r="D32" s="41"/>
    </row>
    <row r="33" spans="1:4" hidden="1" x14ac:dyDescent="0.25">
      <c r="A33" s="55" t="s">
        <v>118</v>
      </c>
      <c r="B33" s="54">
        <f>IF(B32&lt;=12450,B32*19%,IF(AND(B32&gt;12450,B32&lt;20200.0000001),((B32-12450)*24%)+2362.5,IF(AND(B32&gt;20200.000001,B32&lt;35200.0000001),((B32-20200)*30%)+4225.5,IF(AND(B32&gt;35200.000001,B32&lt;60000.0000001),((B32-35200)*37%)+8725.5,IF(B32&gt;60000.000001,((B32-60000)*45%)+17901.5,0)))))</f>
        <v>8423.1279780000004</v>
      </c>
      <c r="C33" s="53">
        <f>IF(C32&lt;12450.0000001,C32*19%,IF(AND(C32&gt;12450.000001,C32&lt;20200.0000001),((C32-12450)*24%)+2365.5,IF(AND(C32&gt;20200.000001,C32&lt;35200.0000001),((C32-20200)*30%)+4225.5,IF(AND(C32&gt;35200.000001,C32&lt;60000.0000001),((C32-35200)*37%)+8725.5,IF(C32&gt;60000.000001,((C32-60000)*45%)+17901.5,0)))))</f>
        <v>1054.5</v>
      </c>
      <c r="D33" s="41"/>
    </row>
    <row r="34" spans="1:4" hidden="1" x14ac:dyDescent="0.25">
      <c r="A34" s="55" t="s">
        <v>119</v>
      </c>
      <c r="B34" s="54">
        <f>+B33-C33</f>
        <v>7368.6279780000004</v>
      </c>
      <c r="C34" s="41"/>
      <c r="D34" s="41"/>
    </row>
    <row r="35" spans="1:4" x14ac:dyDescent="0.25">
      <c r="A35" s="55" t="s">
        <v>120</v>
      </c>
      <c r="B35" s="56">
        <f>(+B34/B24)</f>
        <v>0.19104934341459673</v>
      </c>
      <c r="C35" s="41"/>
      <c r="D35" s="41"/>
    </row>
    <row r="36" spans="1:4" x14ac:dyDescent="0.25">
      <c r="A36" s="41"/>
      <c r="B36" s="41"/>
      <c r="C36" s="41"/>
      <c r="D36" s="41"/>
    </row>
  </sheetData>
  <sheetProtection sheet="1" objects="1" scenarios="1" selectLockedCells="1"/>
  <mergeCells count="10">
    <mergeCell ref="A23:B23"/>
    <mergeCell ref="A26:B26"/>
    <mergeCell ref="A7:B7"/>
    <mergeCell ref="A6:B6"/>
    <mergeCell ref="A1:C1"/>
    <mergeCell ref="A2:C2"/>
    <mergeCell ref="A4:B4"/>
    <mergeCell ref="A9:B9"/>
    <mergeCell ref="A16:B16"/>
    <mergeCell ref="C18:C19"/>
  </mergeCells>
  <dataValidations count="6">
    <dataValidation type="list" allowBlank="1" showInputMessage="1" showErrorMessage="1" sqref="B10" xr:uid="{00000000-0002-0000-0100-000000000000}">
      <formula1>$H$1:$H$2</formula1>
    </dataValidation>
    <dataValidation type="list" allowBlank="1" showInputMessage="1" showErrorMessage="1" sqref="B21" xr:uid="{00000000-0002-0000-0100-000001000000}">
      <formula1>$H$3:$H$23</formula1>
    </dataValidation>
    <dataValidation type="list" allowBlank="1" showInputMessage="1" showErrorMessage="1" sqref="B17" xr:uid="{00000000-0002-0000-0100-000002000000}">
      <formula1>$H$4:$H$10</formula1>
    </dataValidation>
    <dataValidation type="list" allowBlank="1" showInputMessage="1" showErrorMessage="1" sqref="B11:B14 B18:B20" xr:uid="{00000000-0002-0000-0100-000003000000}">
      <formula1>$H$3:$H$11</formula1>
    </dataValidation>
    <dataValidation type="list" allowBlank="1" showInputMessage="1" showErrorMessage="1" sqref="A7" xr:uid="{00000000-0002-0000-0100-000004000000}">
      <formula1>$H$13:$H$15</formula1>
    </dataValidation>
    <dataValidation type="list" allowBlank="1" showInputMessage="1" showErrorMessage="1" sqref="A6:B6" xr:uid="{00000000-0002-0000-0100-000005000000}">
      <formula1>$H$17:$H$19</formula1>
    </dataValidation>
  </dataValidations>
  <pageMargins left="0.7" right="0.7" top="0.75" bottom="0.75" header="0.3" footer="0.3"/>
  <pageSetup paperSize="9" orientation="portrait" horizontalDpi="4294967292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5" tint="0.39997558519241921"/>
  </sheetPr>
  <dimension ref="A1:I40"/>
  <sheetViews>
    <sheetView workbookViewId="0">
      <selection activeCell="A19" sqref="A19"/>
    </sheetView>
  </sheetViews>
  <sheetFormatPr baseColWidth="10" defaultRowHeight="15" x14ac:dyDescent="0.25"/>
  <cols>
    <col min="1" max="1" width="82.85546875" style="39" customWidth="1"/>
    <col min="2" max="2" width="11.85546875" style="39" bestFit="1" customWidth="1"/>
    <col min="3" max="3" width="11.85546875" style="39" hidden="1" customWidth="1"/>
    <col min="4" max="4" width="1.85546875" style="39" hidden="1" customWidth="1"/>
    <col min="5" max="5" width="26.5703125" style="39" bestFit="1" customWidth="1"/>
    <col min="6" max="6" width="12.140625" style="39" bestFit="1" customWidth="1"/>
    <col min="7" max="7" width="10.7109375" style="39" customWidth="1"/>
    <col min="8" max="8" width="49.85546875" style="39" hidden="1" customWidth="1"/>
    <col min="9" max="9" width="0" style="39" hidden="1" customWidth="1"/>
    <col min="10" max="16384" width="11.42578125" style="39"/>
  </cols>
  <sheetData>
    <row r="1" spans="1:9" ht="15.75" x14ac:dyDescent="0.25">
      <c r="A1" s="352" t="s">
        <v>92</v>
      </c>
      <c r="B1" s="353"/>
      <c r="C1" s="353"/>
      <c r="D1" s="41"/>
      <c r="H1" s="40" t="s">
        <v>98</v>
      </c>
    </row>
    <row r="2" spans="1:9" ht="15.75" x14ac:dyDescent="0.25">
      <c r="A2" s="354" t="s">
        <v>93</v>
      </c>
      <c r="B2" s="354"/>
      <c r="C2" s="354"/>
      <c r="D2" s="41"/>
      <c r="H2" s="40" t="s">
        <v>130</v>
      </c>
    </row>
    <row r="3" spans="1:9" ht="5.25" customHeight="1" x14ac:dyDescent="0.25">
      <c r="A3" s="41"/>
      <c r="B3" s="41"/>
      <c r="C3" s="41"/>
      <c r="D3" s="41"/>
      <c r="H3" s="39">
        <v>0</v>
      </c>
    </row>
    <row r="4" spans="1:9" x14ac:dyDescent="0.25">
      <c r="A4" s="349" t="s">
        <v>94</v>
      </c>
      <c r="B4" s="349"/>
      <c r="C4" s="42" t="s">
        <v>95</v>
      </c>
      <c r="D4" s="41"/>
      <c r="H4" s="39">
        <v>1</v>
      </c>
    </row>
    <row r="5" spans="1:9" hidden="1" x14ac:dyDescent="0.25">
      <c r="A5" s="43" t="s">
        <v>96</v>
      </c>
      <c r="B5" s="44"/>
      <c r="C5" s="45">
        <v>5550</v>
      </c>
      <c r="D5" s="41"/>
      <c r="H5" s="39">
        <v>2</v>
      </c>
    </row>
    <row r="6" spans="1:9" x14ac:dyDescent="0.25">
      <c r="A6" s="356" t="str">
        <f>+'IRPF año completo'!A6:B6</f>
        <v>Edad menor de 65 años</v>
      </c>
      <c r="B6" s="357"/>
      <c r="C6" s="45">
        <f>IF(A6=H17,I17,IF(A6=H18,I18,IF(A6=H19,I19+I18,0)))</f>
        <v>0</v>
      </c>
      <c r="D6" s="41"/>
      <c r="E6" s="124" t="s">
        <v>183</v>
      </c>
      <c r="F6" s="40"/>
      <c r="G6" s="40"/>
      <c r="H6" s="39">
        <v>3</v>
      </c>
    </row>
    <row r="7" spans="1:9" x14ac:dyDescent="0.25">
      <c r="A7" s="356" t="str">
        <f>+'IRPF año completo'!A7:B7</f>
        <v>Sin discapacidad</v>
      </c>
      <c r="B7" s="357"/>
      <c r="C7" s="41"/>
      <c r="D7" s="41"/>
      <c r="E7" s="124" t="s">
        <v>183</v>
      </c>
      <c r="F7" s="40"/>
      <c r="G7" s="40"/>
      <c r="H7" s="39">
        <v>4</v>
      </c>
    </row>
    <row r="8" spans="1:9" ht="7.5" customHeight="1" x14ac:dyDescent="0.25">
      <c r="A8" s="41"/>
      <c r="B8" s="41"/>
      <c r="C8" s="41"/>
      <c r="D8" s="41"/>
      <c r="E8" s="40"/>
      <c r="F8" s="40"/>
      <c r="G8" s="40"/>
      <c r="H8" s="39">
        <v>5</v>
      </c>
    </row>
    <row r="9" spans="1:9" x14ac:dyDescent="0.25">
      <c r="A9" s="349" t="s">
        <v>100</v>
      </c>
      <c r="B9" s="349"/>
      <c r="C9" s="41"/>
      <c r="D9" s="41"/>
      <c r="E9" s="40"/>
      <c r="F9" s="40"/>
      <c r="G9" s="40"/>
      <c r="H9" s="39">
        <v>6</v>
      </c>
    </row>
    <row r="10" spans="1:9" x14ac:dyDescent="0.25">
      <c r="A10" s="46" t="s">
        <v>101</v>
      </c>
      <c r="B10" s="134" t="str">
        <f>+'IRPF año completo'!B10</f>
        <v>NO</v>
      </c>
      <c r="C10" s="41"/>
      <c r="D10" s="41"/>
      <c r="E10" s="124" t="s">
        <v>183</v>
      </c>
      <c r="F10" s="40"/>
      <c r="G10" s="40"/>
      <c r="H10" s="39">
        <v>7</v>
      </c>
    </row>
    <row r="11" spans="1:9" x14ac:dyDescent="0.25">
      <c r="A11" s="46" t="s">
        <v>102</v>
      </c>
      <c r="B11" s="134">
        <f>+'IRPF año completo'!B11</f>
        <v>0</v>
      </c>
      <c r="C11" s="45">
        <f>IF(B10="si",IF(B11=1,2400,IF(B11=2,2400+2700,IF(B11=3,2400+2700+4000,IF(B11=4,2400+2700+4000+4500,IF(B11&gt;4,2400+2700+4000+4500+((B11-4)*4500),0))))),(IF(B11=1,2400,IF(B11=2,2400+2700,IF(B11=3,2400+2700+4000,IF(B11=4,2400+2700+4000+4500,IF(B11&gt;4,2400+2700+4000+4500+((B11-4)*4500),0))))))/2)</f>
        <v>0</v>
      </c>
      <c r="E11" s="124" t="s">
        <v>183</v>
      </c>
      <c r="F11" s="40"/>
      <c r="G11" s="40"/>
      <c r="H11" s="39">
        <v>8</v>
      </c>
    </row>
    <row r="12" spans="1:9" x14ac:dyDescent="0.25">
      <c r="A12" s="46" t="s">
        <v>103</v>
      </c>
      <c r="B12" s="134">
        <f>+'IRPF año completo'!B12</f>
        <v>0</v>
      </c>
      <c r="C12" s="64">
        <f>IF(B10="SI",+B12*2800,(+B12*2800)/2)</f>
        <v>0</v>
      </c>
      <c r="D12" s="41"/>
      <c r="E12" s="124" t="s">
        <v>183</v>
      </c>
      <c r="F12" s="40"/>
      <c r="G12" s="40"/>
    </row>
    <row r="13" spans="1:9" x14ac:dyDescent="0.25">
      <c r="A13" s="49" t="s">
        <v>104</v>
      </c>
      <c r="B13" s="134">
        <f>+'IRPF año completo'!B13</f>
        <v>0</v>
      </c>
      <c r="C13" s="45">
        <f>IF(B10="SI",(B13*3000),(B13*3000)/2)</f>
        <v>0</v>
      </c>
      <c r="D13" s="41"/>
      <c r="E13" s="124" t="s">
        <v>183</v>
      </c>
      <c r="F13" s="40"/>
      <c r="G13" s="40"/>
      <c r="H13" s="40" t="s">
        <v>179</v>
      </c>
      <c r="I13" s="39">
        <v>0</v>
      </c>
    </row>
    <row r="14" spans="1:9" x14ac:dyDescent="0.25">
      <c r="A14" s="49" t="s">
        <v>105</v>
      </c>
      <c r="B14" s="134">
        <f>+'IRPF año completo'!B14</f>
        <v>0</v>
      </c>
      <c r="C14" s="45">
        <f>IF(B10="SI",(B14*9000),(B14*9000)/2)</f>
        <v>0</v>
      </c>
      <c r="D14" s="41"/>
      <c r="E14" s="124" t="s">
        <v>183</v>
      </c>
      <c r="F14" s="40"/>
      <c r="G14" s="40"/>
      <c r="H14" s="40" t="s">
        <v>97</v>
      </c>
      <c r="I14" s="39">
        <v>3000</v>
      </c>
    </row>
    <row r="15" spans="1:9" ht="6" customHeight="1" x14ac:dyDescent="0.25">
      <c r="A15" s="50"/>
      <c r="B15" s="50"/>
      <c r="C15" s="50"/>
      <c r="D15" s="41"/>
      <c r="E15" s="40"/>
      <c r="F15" s="40"/>
      <c r="G15" s="40"/>
      <c r="H15" s="39" t="s">
        <v>99</v>
      </c>
      <c r="I15" s="39">
        <v>9000</v>
      </c>
    </row>
    <row r="16" spans="1:9" x14ac:dyDescent="0.25">
      <c r="A16" s="349" t="s">
        <v>106</v>
      </c>
      <c r="B16" s="349"/>
      <c r="C16" s="50"/>
      <c r="D16" s="41"/>
      <c r="E16" s="40"/>
      <c r="F16" s="40"/>
      <c r="G16" s="40"/>
      <c r="H16" s="40"/>
    </row>
    <row r="17" spans="1:9" x14ac:dyDescent="0.25">
      <c r="A17" s="51" t="s">
        <v>107</v>
      </c>
      <c r="B17" s="135">
        <f>+'IRPF año completo'!B17</f>
        <v>1</v>
      </c>
      <c r="C17" s="50"/>
      <c r="D17" s="41"/>
      <c r="E17" s="124" t="s">
        <v>183</v>
      </c>
      <c r="F17" s="40"/>
      <c r="G17" s="40"/>
      <c r="H17" s="40" t="s">
        <v>180</v>
      </c>
      <c r="I17" s="39">
        <v>0</v>
      </c>
    </row>
    <row r="18" spans="1:9" x14ac:dyDescent="0.25">
      <c r="A18" s="46" t="s">
        <v>108</v>
      </c>
      <c r="B18" s="135">
        <f>+'IRPF año completo'!B18</f>
        <v>0</v>
      </c>
      <c r="C18" s="355">
        <f>((+B18*1150)+(B19*(1150+1400)))/B17</f>
        <v>0</v>
      </c>
      <c r="D18" s="41"/>
      <c r="E18" s="124" t="s">
        <v>183</v>
      </c>
      <c r="F18" s="40"/>
      <c r="G18" s="40"/>
      <c r="H18" s="40" t="s">
        <v>182</v>
      </c>
      <c r="I18" s="39">
        <v>1150</v>
      </c>
    </row>
    <row r="19" spans="1:9" x14ac:dyDescent="0.25">
      <c r="A19" s="46" t="s">
        <v>109</v>
      </c>
      <c r="B19" s="135">
        <f>+'IRPF año completo'!B19</f>
        <v>0</v>
      </c>
      <c r="C19" s="355"/>
      <c r="D19" s="41"/>
      <c r="E19" s="124" t="s">
        <v>183</v>
      </c>
      <c r="F19" s="40"/>
      <c r="G19" s="40"/>
      <c r="H19" s="39" t="s">
        <v>181</v>
      </c>
      <c r="I19" s="39">
        <v>1400</v>
      </c>
    </row>
    <row r="20" spans="1:9" x14ac:dyDescent="0.25">
      <c r="A20" s="49" t="s">
        <v>110</v>
      </c>
      <c r="B20" s="135">
        <f>+'IRPF año completo'!B20</f>
        <v>0</v>
      </c>
      <c r="C20" s="45">
        <f>(B20*3000)/B17</f>
        <v>0</v>
      </c>
      <c r="D20" s="41"/>
      <c r="E20" s="124" t="s">
        <v>183</v>
      </c>
      <c r="F20" s="40"/>
      <c r="G20" s="40"/>
    </row>
    <row r="21" spans="1:9" x14ac:dyDescent="0.25">
      <c r="A21" s="49" t="s">
        <v>111</v>
      </c>
      <c r="B21" s="135">
        <f>+'IRPF año completo'!B21</f>
        <v>0</v>
      </c>
      <c r="C21" s="45">
        <f>+(B21*9000)/B17</f>
        <v>0</v>
      </c>
      <c r="D21" s="41"/>
      <c r="E21" s="124" t="s">
        <v>183</v>
      </c>
      <c r="F21" s="40"/>
      <c r="G21" s="40"/>
    </row>
    <row r="22" spans="1:9" ht="5.25" customHeight="1" x14ac:dyDescent="0.25">
      <c r="A22" s="41"/>
      <c r="B22" s="41"/>
      <c r="C22" s="41"/>
      <c r="D22" s="41"/>
      <c r="E22" s="40"/>
      <c r="F22" s="40"/>
      <c r="G22" s="40"/>
    </row>
    <row r="23" spans="1:9" x14ac:dyDescent="0.25">
      <c r="A23" s="349" t="s">
        <v>112</v>
      </c>
      <c r="B23" s="349"/>
      <c r="C23" s="41"/>
      <c r="D23" s="41"/>
      <c r="E23" s="40"/>
      <c r="F23" s="40"/>
      <c r="G23" s="40"/>
    </row>
    <row r="24" spans="1:9" x14ac:dyDescent="0.25">
      <c r="A24" s="52" t="s">
        <v>215</v>
      </c>
      <c r="B24" s="53">
        <f>(+B39/12)*B38</f>
        <v>25712.826666666664</v>
      </c>
      <c r="C24" s="41"/>
      <c r="D24" s="41"/>
      <c r="E24" s="40"/>
      <c r="F24" s="40"/>
      <c r="G24" s="40"/>
    </row>
    <row r="25" spans="1:9" ht="4.5" customHeight="1" x14ac:dyDescent="0.25">
      <c r="A25" s="41"/>
      <c r="B25" s="41"/>
      <c r="C25" s="41"/>
      <c r="D25" s="41"/>
    </row>
    <row r="26" spans="1:9" x14ac:dyDescent="0.25">
      <c r="A26" s="349" t="s">
        <v>114</v>
      </c>
      <c r="B26" s="349"/>
      <c r="C26" s="41"/>
      <c r="D26" s="41"/>
    </row>
    <row r="27" spans="1:9" hidden="1" x14ac:dyDescent="0.25">
      <c r="A27" s="43" t="s">
        <v>115</v>
      </c>
      <c r="B27" s="54">
        <v>2000</v>
      </c>
      <c r="C27" s="41"/>
      <c r="D27" s="41"/>
    </row>
    <row r="28" spans="1:9" x14ac:dyDescent="0.25">
      <c r="A28" s="43" t="s">
        <v>123</v>
      </c>
      <c r="B28" s="54">
        <f>(-B40/12)*B38</f>
        <v>1584.7644933333331</v>
      </c>
      <c r="C28" s="41"/>
      <c r="D28" s="41"/>
    </row>
    <row r="29" spans="1:9" hidden="1" x14ac:dyDescent="0.25">
      <c r="A29" s="46" t="str">
        <f>+A7</f>
        <v>Sin discapacidad</v>
      </c>
      <c r="B29" s="45">
        <f>IF(A7=H14,I14,IF(A7=H15,I15,0))</f>
        <v>0</v>
      </c>
      <c r="C29" s="41"/>
      <c r="D29" s="41"/>
    </row>
    <row r="30" spans="1:9" hidden="1" x14ac:dyDescent="0.25">
      <c r="A30" s="49" t="s">
        <v>116</v>
      </c>
      <c r="B30" s="54">
        <f>IF(B11&gt;2,600,0)</f>
        <v>0</v>
      </c>
      <c r="C30" s="41"/>
      <c r="D30" s="41"/>
    </row>
    <row r="31" spans="1:9" x14ac:dyDescent="0.25">
      <c r="A31" s="43" t="s">
        <v>184</v>
      </c>
      <c r="B31" s="124"/>
      <c r="C31" s="41"/>
      <c r="D31" s="41"/>
    </row>
    <row r="32" spans="1:9" hidden="1" x14ac:dyDescent="0.25">
      <c r="A32" s="55" t="s">
        <v>117</v>
      </c>
      <c r="B32" s="54">
        <f>+B24-B28-B27-B29-B30-B31</f>
        <v>22128.062173333332</v>
      </c>
      <c r="C32" s="53">
        <f>SUM(C5:C31)</f>
        <v>5550</v>
      </c>
      <c r="D32" s="41"/>
    </row>
    <row r="33" spans="1:4" hidden="1" x14ac:dyDescent="0.25">
      <c r="A33" s="55" t="s">
        <v>118</v>
      </c>
      <c r="B33" s="54">
        <f>IF(B32&lt;=12450,B32*19%,IF(AND(B32&gt;12450,B32&lt;20200.0000001),((B32-12450)*24%)+2362.5,IF(AND(B32&gt;20200.000001,B32&lt;35200.0000001),((B32-20200)*30%)+4225.5,IF(AND(B32&gt;35200.000001,B32&lt;60000.0000001),((B32-35200)*37%)+8725.5,IF(B32&gt;60000.000001,((B32-60000)*45%)+17901.5,0)))))</f>
        <v>4803.9186519999994</v>
      </c>
      <c r="C33" s="53">
        <f>IF(C32&lt;12450.0000001,C32*19%,IF(AND(C32&gt;12450.000001,C32&lt;20200.0000001),((C32-12450)*24%)+2365.5,IF(AND(C32&gt;20200.000001,C32&lt;35200.0000001),((C32-20200)*30%)+4225.5,IF(AND(C32&gt;35200.000001,C32&lt;60000.0000001),((C32-35200)*37%)+8725.5,IF(C32&gt;60000.000001,((C32-60000)*45%)+17901.5,0)))))</f>
        <v>1054.5</v>
      </c>
      <c r="D33" s="41"/>
    </row>
    <row r="34" spans="1:4" hidden="1" x14ac:dyDescent="0.25">
      <c r="A34" s="55" t="s">
        <v>119</v>
      </c>
      <c r="B34" s="54">
        <f>+B33-C33</f>
        <v>3749.4186519999994</v>
      </c>
      <c r="C34" s="41"/>
      <c r="D34" s="41"/>
    </row>
    <row r="35" spans="1:4" x14ac:dyDescent="0.25">
      <c r="A35" s="55" t="s">
        <v>120</v>
      </c>
      <c r="B35" s="56">
        <f>(+B34/B24)</f>
        <v>0.14581899923358613</v>
      </c>
      <c r="C35" s="41"/>
      <c r="D35" s="41"/>
    </row>
    <row r="36" spans="1:4" x14ac:dyDescent="0.25">
      <c r="A36" s="41"/>
      <c r="B36" s="41"/>
      <c r="C36" s="41"/>
      <c r="D36" s="41"/>
    </row>
    <row r="38" spans="1:4" ht="21" x14ac:dyDescent="0.35">
      <c r="A38" s="133" t="s">
        <v>214</v>
      </c>
      <c r="B38" s="138">
        <v>8</v>
      </c>
    </row>
    <row r="39" spans="1:4" hidden="1" x14ac:dyDescent="0.25">
      <c r="B39" s="40">
        <f>+Nóminab!D59</f>
        <v>38569.24</v>
      </c>
    </row>
    <row r="40" spans="1:4" hidden="1" x14ac:dyDescent="0.25">
      <c r="B40" s="40">
        <f>+Nóminab!D60</f>
        <v>-2377.1467399999997</v>
      </c>
    </row>
  </sheetData>
  <sheetProtection sheet="1" objects="1" scenarios="1"/>
  <mergeCells count="10">
    <mergeCell ref="A16:B16"/>
    <mergeCell ref="C18:C19"/>
    <mergeCell ref="A23:B23"/>
    <mergeCell ref="A26:B26"/>
    <mergeCell ref="A1:C1"/>
    <mergeCell ref="A2:C2"/>
    <mergeCell ref="A4:B4"/>
    <mergeCell ref="A6:B6"/>
    <mergeCell ref="A7:B7"/>
    <mergeCell ref="A9:B9"/>
  </mergeCells>
  <dataValidations count="4">
    <dataValidation type="list" allowBlank="1" showInputMessage="1" showErrorMessage="1" sqref="A6:B6" xr:uid="{00000000-0002-0000-0200-000000000000}">
      <formula1>$H$17:$H$19</formula1>
    </dataValidation>
    <dataValidation type="list" allowBlank="1" showInputMessage="1" showErrorMessage="1" sqref="A7" xr:uid="{00000000-0002-0000-0200-000001000000}">
      <formula1>$H$13:$H$15</formula1>
    </dataValidation>
    <dataValidation type="list" allowBlank="1" showInputMessage="1" showErrorMessage="1" sqref="B17:B21" xr:uid="{00000000-0002-0000-0200-000002000000}">
      <formula1>$H$4:$H$10</formula1>
    </dataValidation>
    <dataValidation type="list" allowBlank="1" showInputMessage="1" showErrorMessage="1" sqref="B10:B14" xr:uid="{00000000-0002-0000-0200-000003000000}">
      <formula1>$H$1:$H$2</formula1>
    </dataValidation>
  </dataValidations>
  <pageMargins left="0.7" right="0.7" top="0.75" bottom="0.75" header="0.3" footer="0.3"/>
  <pageSetup paperSize="9" orientation="portrait" horizontalDpi="4294967292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X91"/>
  <sheetViews>
    <sheetView workbookViewId="0">
      <selection activeCell="H39" sqref="H39"/>
    </sheetView>
  </sheetViews>
  <sheetFormatPr baseColWidth="10" defaultRowHeight="15" x14ac:dyDescent="0.25"/>
  <cols>
    <col min="1" max="1" width="3" style="39" bestFit="1" customWidth="1"/>
    <col min="2" max="2" width="3.28515625" style="39" bestFit="1" customWidth="1"/>
    <col min="3" max="3" width="38.140625" style="39" bestFit="1" customWidth="1"/>
    <col min="4" max="4" width="9.28515625" style="39" customWidth="1"/>
    <col min="5" max="5" width="10.140625" style="39" customWidth="1"/>
    <col min="6" max="6" width="9.42578125" style="39" customWidth="1"/>
    <col min="7" max="7" width="9.28515625" style="39" customWidth="1"/>
    <col min="8" max="8" width="9.85546875" style="39" customWidth="1"/>
    <col min="9" max="9" width="9.7109375" style="39" customWidth="1"/>
    <col min="10" max="10" width="8.28515625" style="39" bestFit="1" customWidth="1"/>
    <col min="11" max="11" width="10.140625" style="39" customWidth="1"/>
    <col min="12" max="12" width="9.28515625" style="39" customWidth="1"/>
    <col min="13" max="13" width="8.85546875" style="39" bestFit="1" customWidth="1"/>
    <col min="14" max="14" width="8.140625" style="39" hidden="1" customWidth="1"/>
    <col min="15" max="15" width="10.28515625" style="39" hidden="1" customWidth="1"/>
    <col min="16" max="16" width="9.7109375" style="39" hidden="1" customWidth="1"/>
    <col min="17" max="20" width="8.140625" style="39" hidden="1" customWidth="1"/>
    <col min="21" max="21" width="7.28515625" style="39" hidden="1" customWidth="1"/>
    <col min="22" max="23" width="8" style="39" hidden="1" customWidth="1"/>
    <col min="24" max="24" width="11.42578125" style="39" hidden="1" customWidth="1"/>
    <col min="25" max="25" width="7.5703125" style="39" hidden="1" customWidth="1"/>
    <col min="26" max="26" width="6.5703125" style="39" hidden="1" customWidth="1"/>
    <col min="27" max="27" width="3" style="39" hidden="1" customWidth="1"/>
    <col min="28" max="28" width="3.28515625" style="39" hidden="1" customWidth="1"/>
    <col min="29" max="30" width="6.5703125" style="39" hidden="1" customWidth="1"/>
    <col min="31" max="31" width="10.28515625" style="39" hidden="1" customWidth="1"/>
    <col min="32" max="32" width="6.7109375" style="39" hidden="1" customWidth="1"/>
    <col min="33" max="34" width="7" style="39" hidden="1" customWidth="1"/>
    <col min="35" max="35" width="7.85546875" style="39" hidden="1" customWidth="1"/>
    <col min="36" max="36" width="6.28515625" style="39" hidden="1" customWidth="1"/>
    <col min="37" max="40" width="7" style="39" hidden="1" customWidth="1"/>
    <col min="41" max="42" width="7.85546875" style="39" hidden="1" customWidth="1"/>
    <col min="43" max="43" width="6.7109375" style="39" hidden="1" customWidth="1"/>
    <col min="44" max="44" width="10.7109375" style="39" bestFit="1" customWidth="1"/>
    <col min="45" max="45" width="6.7109375" style="39" hidden="1" customWidth="1"/>
    <col min="46" max="46" width="11.42578125" style="39" hidden="1" customWidth="1"/>
    <col min="47" max="47" width="85.140625" style="39" bestFit="1" customWidth="1"/>
    <col min="48" max="16384" width="11.42578125" style="39"/>
  </cols>
  <sheetData>
    <row r="1" spans="1:46" ht="18" x14ac:dyDescent="0.25">
      <c r="A1" s="231"/>
      <c r="B1" s="359" t="s">
        <v>272</v>
      </c>
      <c r="C1" s="359"/>
      <c r="D1" s="359"/>
      <c r="E1" s="359"/>
      <c r="F1" s="359"/>
      <c r="G1" s="359"/>
      <c r="H1" s="359"/>
      <c r="I1" s="359"/>
      <c r="J1" s="359"/>
      <c r="K1" s="359"/>
      <c r="L1" s="359"/>
      <c r="M1" s="359"/>
      <c r="N1" s="231"/>
      <c r="O1" s="231"/>
      <c r="P1" s="231"/>
      <c r="Q1" s="231"/>
      <c r="R1" s="231"/>
      <c r="S1" s="231"/>
      <c r="T1" s="231"/>
      <c r="U1" s="231"/>
      <c r="V1" s="231"/>
      <c r="W1" s="231"/>
      <c r="X1" s="231"/>
      <c r="Y1" s="231"/>
      <c r="Z1" s="231"/>
      <c r="AA1" s="231"/>
      <c r="AB1" s="231"/>
      <c r="AC1" s="231"/>
      <c r="AD1" s="231"/>
      <c r="AE1" s="231"/>
      <c r="AF1" s="231"/>
      <c r="AG1" s="231"/>
      <c r="AH1" s="231"/>
      <c r="AI1" s="231"/>
      <c r="AJ1" s="231"/>
      <c r="AK1" s="231"/>
      <c r="AL1" s="231"/>
      <c r="AM1" s="231"/>
      <c r="AN1" s="231"/>
      <c r="AO1" s="231"/>
      <c r="AP1" s="231"/>
      <c r="AQ1" s="231"/>
      <c r="AR1" s="231"/>
      <c r="AS1" s="231"/>
      <c r="AT1" s="231"/>
    </row>
    <row r="2" spans="1:46" hidden="1" x14ac:dyDescent="0.25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L2" s="96">
        <v>1</v>
      </c>
      <c r="M2" s="96">
        <v>1</v>
      </c>
      <c r="N2" s="96">
        <v>2</v>
      </c>
      <c r="O2" s="96">
        <v>2</v>
      </c>
      <c r="P2" s="96">
        <v>3</v>
      </c>
      <c r="Q2" s="96">
        <v>3</v>
      </c>
      <c r="R2" s="96">
        <v>4</v>
      </c>
      <c r="S2" s="96">
        <v>4</v>
      </c>
      <c r="T2" s="96">
        <v>5</v>
      </c>
      <c r="U2" s="96">
        <v>5</v>
      </c>
      <c r="V2" s="358" t="s">
        <v>141</v>
      </c>
      <c r="W2" s="358"/>
      <c r="X2" s="358"/>
      <c r="Y2" s="65"/>
      <c r="Z2" s="65"/>
      <c r="AA2" s="65"/>
      <c r="AB2" s="65"/>
      <c r="AC2" s="65"/>
      <c r="AD2" s="65"/>
      <c r="AE2" s="65"/>
      <c r="AF2" s="65"/>
      <c r="AG2" s="65"/>
      <c r="AH2" s="65"/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  <c r="AT2" s="65"/>
    </row>
    <row r="3" spans="1:46" ht="36" hidden="1" x14ac:dyDescent="0.25">
      <c r="A3" s="65"/>
      <c r="B3" s="65"/>
      <c r="C3" s="65"/>
      <c r="D3" s="67" t="s">
        <v>2</v>
      </c>
      <c r="E3" s="67" t="s">
        <v>129</v>
      </c>
      <c r="F3" s="68" t="s">
        <v>3</v>
      </c>
      <c r="G3" s="68" t="s">
        <v>142</v>
      </c>
      <c r="H3" s="69" t="s">
        <v>143</v>
      </c>
      <c r="I3" s="69" t="s">
        <v>144</v>
      </c>
      <c r="J3" s="70" t="s">
        <v>145</v>
      </c>
      <c r="K3" s="71" t="s">
        <v>146</v>
      </c>
      <c r="L3" s="72" t="s">
        <v>137</v>
      </c>
      <c r="M3" s="72" t="s">
        <v>147</v>
      </c>
      <c r="N3" s="72" t="s">
        <v>138</v>
      </c>
      <c r="O3" s="72" t="s">
        <v>148</v>
      </c>
      <c r="P3" s="72" t="s">
        <v>139</v>
      </c>
      <c r="Q3" s="72" t="s">
        <v>149</v>
      </c>
      <c r="R3" s="72" t="s">
        <v>140</v>
      </c>
      <c r="S3" s="72" t="s">
        <v>150</v>
      </c>
      <c r="T3" s="72" t="s">
        <v>151</v>
      </c>
      <c r="U3" s="72" t="s">
        <v>152</v>
      </c>
      <c r="V3" s="73" t="s">
        <v>153</v>
      </c>
      <c r="W3" s="74" t="s">
        <v>136</v>
      </c>
      <c r="X3" s="75" t="s">
        <v>6</v>
      </c>
      <c r="Y3" s="76" t="s">
        <v>13</v>
      </c>
      <c r="Z3" s="77" t="s">
        <v>154</v>
      </c>
      <c r="AA3" s="78"/>
      <c r="AB3" s="78"/>
      <c r="AC3" s="79" t="s">
        <v>155</v>
      </c>
      <c r="AD3" s="79" t="s">
        <v>44</v>
      </c>
      <c r="AE3" s="80" t="s">
        <v>156</v>
      </c>
      <c r="AF3" s="65"/>
      <c r="AG3" s="81" t="s">
        <v>157</v>
      </c>
      <c r="AH3" s="81" t="s">
        <v>158</v>
      </c>
      <c r="AI3" s="81" t="s">
        <v>159</v>
      </c>
      <c r="AJ3" s="81" t="s">
        <v>160</v>
      </c>
      <c r="AK3" s="81" t="s">
        <v>161</v>
      </c>
      <c r="AL3" s="81" t="s">
        <v>162</v>
      </c>
      <c r="AM3" s="81" t="s">
        <v>163</v>
      </c>
      <c r="AN3" s="81" t="s">
        <v>164</v>
      </c>
      <c r="AO3" s="81" t="s">
        <v>165</v>
      </c>
      <c r="AP3" s="81" t="s">
        <v>166</v>
      </c>
      <c r="AR3" s="81" t="s">
        <v>167</v>
      </c>
      <c r="AS3" s="65"/>
      <c r="AT3" s="65"/>
    </row>
    <row r="4" spans="1:46" hidden="1" x14ac:dyDescent="0.25">
      <c r="A4" s="82" t="s">
        <v>53</v>
      </c>
      <c r="B4" s="82">
        <v>26</v>
      </c>
      <c r="C4" s="83" t="s">
        <v>168</v>
      </c>
      <c r="D4" s="106">
        <f>+D26</f>
        <v>1214.3900000000001</v>
      </c>
      <c r="E4" s="106">
        <f>+D27</f>
        <v>749.38</v>
      </c>
      <c r="F4" s="106">
        <f>+D28</f>
        <v>46.74</v>
      </c>
      <c r="G4" s="106">
        <f>+D29</f>
        <v>28.85</v>
      </c>
      <c r="H4" s="106">
        <f>+D30</f>
        <v>775.08</v>
      </c>
      <c r="I4" s="84">
        <f>+H4</f>
        <v>775.08</v>
      </c>
      <c r="J4" s="106">
        <f>+D32</f>
        <v>1515.04</v>
      </c>
      <c r="K4" s="85">
        <f>+J4*78%</f>
        <v>1181.7311999999999</v>
      </c>
      <c r="L4" s="107">
        <f>+D34</f>
        <v>55</v>
      </c>
      <c r="M4" s="100">
        <f>+D35</f>
        <v>42.9</v>
      </c>
      <c r="N4" s="107">
        <f>+D36</f>
        <v>119</v>
      </c>
      <c r="O4" s="100">
        <f>+D37</f>
        <v>92.820000000000007</v>
      </c>
      <c r="P4" s="107">
        <f>+D38</f>
        <v>239</v>
      </c>
      <c r="Q4" s="100">
        <f>+D39</f>
        <v>186.42000000000002</v>
      </c>
      <c r="R4" s="107">
        <f>+D40</f>
        <v>383</v>
      </c>
      <c r="S4" s="100">
        <f>+D41</f>
        <v>298.74</v>
      </c>
      <c r="T4" s="107">
        <f>+D42</f>
        <v>453</v>
      </c>
      <c r="U4" s="100">
        <f>+D43</f>
        <v>353.34000000000003</v>
      </c>
      <c r="V4" s="106">
        <f>+D44</f>
        <v>178.29</v>
      </c>
      <c r="W4" s="106">
        <f>+D45</f>
        <v>594.05999999999995</v>
      </c>
      <c r="X4" s="106">
        <f>+D46</f>
        <v>41.72</v>
      </c>
      <c r="Y4" s="108">
        <f>+D47</f>
        <v>49.44</v>
      </c>
      <c r="Z4" s="109">
        <f>+D48</f>
        <v>112.91</v>
      </c>
      <c r="AA4" s="66">
        <f>IF([1]Datos!E$11=[1]Retribuciones!C4,[1]Retribuciones!AD4,0)</f>
        <v>0</v>
      </c>
      <c r="AB4" s="66" t="str">
        <f t="shared" ref="AB4:AB12" si="0">IF(AA4&gt;0,A4,"")</f>
        <v/>
      </c>
      <c r="AC4" s="86">
        <f>+P51</f>
        <v>1</v>
      </c>
      <c r="AD4" s="87">
        <f>+P50</f>
        <v>3</v>
      </c>
      <c r="AE4" s="88" t="str">
        <f>+[1]Datos!S17</f>
        <v>Isla Capitalina</v>
      </c>
      <c r="AF4" s="65"/>
      <c r="AG4" s="89">
        <f t="shared" ref="AG4:AG8" si="1">+D4+((F$15*AA$15)+(F4*AD4)+(F$16*AA$16)+(F$17*AA$17)+(F$18*AA$18)+(F$19*AA$19))+H4+J4+(IF(AC4=L$2,L4,IF(AC4=N$2,N4,IF(AC4=P$2,P4,IF(AC4=R$2,R4,IF(AC4&gt;R$2,T4,0))))))+(IF(AE4=V$3,V4,W4+(X$15*AA$15)+(X$16*AA$16)+(X$17*AA$17)+(X$18*AA$18)+(X$19*AA$19)))</f>
        <v>3878.02</v>
      </c>
      <c r="AH4" s="90">
        <f t="shared" ref="AH4:AH8" si="2">+E4+(G4*AD4)+(G$15*AA$15)+(G$16*AA$16)+(G$17*AA$17)+(G$18*AA$18)+(G$19*AA$19)+(IF(AC4=M$2,M4,IF(AC4=O$2,O4,IF(AC4=Q$2,Q4,IF(AC4=S$2,S4,IF(AC4&gt;S$2,U4,0))))))+I4+K4</f>
        <v>2835.6412</v>
      </c>
      <c r="AI4" s="89">
        <f>+(AG4*12)+(AH4*2)</f>
        <v>52207.522400000002</v>
      </c>
      <c r="AJ4" s="91">
        <f>+'[1]IRPF Inspect'!B37</f>
        <v>0.24184213748526701</v>
      </c>
      <c r="AK4" s="89">
        <f t="shared" ref="AK4:AK13" si="3">+AG4*AJ4</f>
        <v>937.86864601061518</v>
      </c>
      <c r="AL4" s="92">
        <f t="shared" ref="AL4:AL13" si="4">+AG4-Y4-Z4-AK4</f>
        <v>2777.801353989385</v>
      </c>
      <c r="AM4" s="92">
        <f t="shared" ref="AM4:AM12" si="5">(+AG4+AH4)*AJ4</f>
        <v>1623.6461749599027</v>
      </c>
      <c r="AN4" s="92">
        <f t="shared" ref="AN4:AN12" si="6">(+AG4+AH4)-Y4-Y4-Z4-Z4-AM4</f>
        <v>4765.3150250400986</v>
      </c>
      <c r="AO4" s="92">
        <f t="shared" ref="AO4:AO13" si="7">+AI4*AJ4</f>
        <v>12625.978810025958</v>
      </c>
      <c r="AP4" s="92">
        <f>+AI4-((Y4+Z4)*14)-AO4</f>
        <v>37308.643589974046</v>
      </c>
      <c r="AR4" s="92">
        <f t="shared" ref="AR4:AR12" si="8">+((D4+(F$19*AA$19)+(F$18*AA$18))/2)</f>
        <v>607.19500000000005</v>
      </c>
      <c r="AS4" s="65"/>
      <c r="AT4" s="65"/>
    </row>
    <row r="5" spans="1:46" hidden="1" x14ac:dyDescent="0.25">
      <c r="A5" s="82" t="s">
        <v>53</v>
      </c>
      <c r="B5" s="82">
        <v>26</v>
      </c>
      <c r="C5" s="83" t="s">
        <v>169</v>
      </c>
      <c r="D5" s="84">
        <f>+D4</f>
        <v>1214.3900000000001</v>
      </c>
      <c r="E5" s="84">
        <f>+E4</f>
        <v>749.38</v>
      </c>
      <c r="F5" s="84">
        <f>+F4</f>
        <v>46.74</v>
      </c>
      <c r="G5" s="84">
        <f>+G4</f>
        <v>28.85</v>
      </c>
      <c r="H5" s="84">
        <f>+H4</f>
        <v>775.08</v>
      </c>
      <c r="I5" s="84">
        <f t="shared" ref="I5:I13" si="9">+H5</f>
        <v>775.08</v>
      </c>
      <c r="J5" s="106">
        <f>+E32</f>
        <v>725.78</v>
      </c>
      <c r="K5" s="85">
        <f t="shared" ref="K5:K13" si="10">+J5*78%</f>
        <v>566.10839999999996</v>
      </c>
      <c r="L5" s="93">
        <f>+L4</f>
        <v>55</v>
      </c>
      <c r="M5" s="93">
        <f t="shared" ref="M5:Z13" si="11">+M4</f>
        <v>42.9</v>
      </c>
      <c r="N5" s="93">
        <f t="shared" si="11"/>
        <v>119</v>
      </c>
      <c r="O5" s="93">
        <f t="shared" si="11"/>
        <v>92.820000000000007</v>
      </c>
      <c r="P5" s="93">
        <f t="shared" si="11"/>
        <v>239</v>
      </c>
      <c r="Q5" s="93">
        <f t="shared" si="11"/>
        <v>186.42000000000002</v>
      </c>
      <c r="R5" s="93">
        <f t="shared" si="11"/>
        <v>383</v>
      </c>
      <c r="S5" s="93">
        <f t="shared" si="11"/>
        <v>298.74</v>
      </c>
      <c r="T5" s="93">
        <f t="shared" si="11"/>
        <v>453</v>
      </c>
      <c r="U5" s="93">
        <f t="shared" si="11"/>
        <v>353.34000000000003</v>
      </c>
      <c r="V5" s="106">
        <f>+E44</f>
        <v>160.51999999999998</v>
      </c>
      <c r="W5" s="106">
        <f>+E45</f>
        <v>534.67999999999995</v>
      </c>
      <c r="X5" s="106">
        <f>+E46</f>
        <v>37.53</v>
      </c>
      <c r="Y5" s="93">
        <f t="shared" ref="Y5:Z9" si="12">+Y4</f>
        <v>49.44</v>
      </c>
      <c r="Z5" s="93">
        <f t="shared" si="12"/>
        <v>112.91</v>
      </c>
      <c r="AA5" s="66">
        <f>IF([1]Datos!E$11=[1]Retribuciones!C5,[1]Retribuciones!AD5,0)</f>
        <v>0</v>
      </c>
      <c r="AB5" s="66" t="str">
        <f t="shared" si="0"/>
        <v/>
      </c>
      <c r="AC5" s="86">
        <f>+AC4</f>
        <v>1</v>
      </c>
      <c r="AD5" s="87">
        <f>+AD4</f>
        <v>3</v>
      </c>
      <c r="AE5" s="88" t="str">
        <f>+AE4</f>
        <v>Isla Capitalina</v>
      </c>
      <c r="AF5" s="65"/>
      <c r="AG5" s="89">
        <f t="shared" si="1"/>
        <v>3070.9900000000002</v>
      </c>
      <c r="AH5" s="90">
        <f t="shared" si="2"/>
        <v>2220.0183999999999</v>
      </c>
      <c r="AI5" s="89">
        <f t="shared" ref="AI5:AI12" si="13">+(AG5*12)+(AH5*2)</f>
        <v>41291.916800000006</v>
      </c>
      <c r="AJ5" s="91">
        <f>+'[1]IRPF Catred'!B37</f>
        <v>0.21154822438283008</v>
      </c>
      <c r="AK5" s="89">
        <f t="shared" si="3"/>
        <v>649.66248159742736</v>
      </c>
      <c r="AL5" s="92">
        <f t="shared" si="4"/>
        <v>2258.977518402573</v>
      </c>
      <c r="AM5" s="92">
        <f t="shared" si="5"/>
        <v>1119.3034322146389</v>
      </c>
      <c r="AN5" s="92">
        <f t="shared" si="6"/>
        <v>3847.0049677853631</v>
      </c>
      <c r="AO5" s="92">
        <f t="shared" si="7"/>
        <v>8735.2316804035527</v>
      </c>
      <c r="AP5" s="92">
        <f t="shared" ref="AP5:AP13" si="14">+AI5-((Y5+Z5)*14)-AO5</f>
        <v>30283.785119596454</v>
      </c>
      <c r="AR5" s="92">
        <f t="shared" si="8"/>
        <v>607.19500000000005</v>
      </c>
      <c r="AS5" s="65"/>
      <c r="AT5" s="65"/>
    </row>
    <row r="6" spans="1:46" hidden="1" x14ac:dyDescent="0.25">
      <c r="A6" s="82" t="s">
        <v>53</v>
      </c>
      <c r="B6" s="82">
        <v>24</v>
      </c>
      <c r="C6" s="83" t="s">
        <v>68</v>
      </c>
      <c r="D6" s="84">
        <f t="shared" ref="D6:G9" si="15">+D5</f>
        <v>1214.3900000000001</v>
      </c>
      <c r="E6" s="84">
        <f t="shared" si="15"/>
        <v>749.38</v>
      </c>
      <c r="F6" s="84">
        <f t="shared" si="15"/>
        <v>46.74</v>
      </c>
      <c r="G6" s="84">
        <f t="shared" si="15"/>
        <v>28.85</v>
      </c>
      <c r="H6" s="106">
        <f>+F30</f>
        <v>647.12</v>
      </c>
      <c r="I6" s="84">
        <f t="shared" si="9"/>
        <v>647.12</v>
      </c>
      <c r="J6" s="106">
        <f>+F32</f>
        <v>672.9</v>
      </c>
      <c r="K6" s="85">
        <f t="shared" si="10"/>
        <v>524.86199999999997</v>
      </c>
      <c r="L6" s="93">
        <f t="shared" ref="L6:L13" si="16">+L5</f>
        <v>55</v>
      </c>
      <c r="M6" s="93">
        <f t="shared" si="11"/>
        <v>42.9</v>
      </c>
      <c r="N6" s="93">
        <f t="shared" si="11"/>
        <v>119</v>
      </c>
      <c r="O6" s="93">
        <f t="shared" si="11"/>
        <v>92.820000000000007</v>
      </c>
      <c r="P6" s="93">
        <f t="shared" si="11"/>
        <v>239</v>
      </c>
      <c r="Q6" s="93">
        <f t="shared" si="11"/>
        <v>186.42000000000002</v>
      </c>
      <c r="R6" s="93">
        <f t="shared" si="11"/>
        <v>383</v>
      </c>
      <c r="S6" s="93">
        <f t="shared" si="11"/>
        <v>298.74</v>
      </c>
      <c r="T6" s="93">
        <f t="shared" si="11"/>
        <v>453</v>
      </c>
      <c r="U6" s="93">
        <f t="shared" si="11"/>
        <v>353.34000000000003</v>
      </c>
      <c r="V6" s="106">
        <f>+F44</f>
        <v>142.66999999999999</v>
      </c>
      <c r="W6" s="106">
        <f>+F45</f>
        <v>475.26</v>
      </c>
      <c r="X6" s="106">
        <f>+F46</f>
        <v>33.419999999999995</v>
      </c>
      <c r="Y6" s="93">
        <f t="shared" si="12"/>
        <v>49.44</v>
      </c>
      <c r="Z6" s="93">
        <f t="shared" si="12"/>
        <v>112.91</v>
      </c>
      <c r="AA6" s="66">
        <f>IF([1]Datos!E$11=[1]Retribuciones!C6,[1]Retribuciones!AD6,0)</f>
        <v>0</v>
      </c>
      <c r="AB6" s="66" t="str">
        <f t="shared" si="0"/>
        <v/>
      </c>
      <c r="AC6" s="86">
        <f t="shared" ref="AC6:AE19" si="17">+AC5</f>
        <v>1</v>
      </c>
      <c r="AD6" s="87">
        <f t="shared" si="17"/>
        <v>3</v>
      </c>
      <c r="AE6" s="88" t="str">
        <f t="shared" si="17"/>
        <v>Isla Capitalina</v>
      </c>
      <c r="AF6" s="65"/>
      <c r="AG6" s="89">
        <f t="shared" si="1"/>
        <v>2872.3</v>
      </c>
      <c r="AH6" s="90">
        <f t="shared" si="2"/>
        <v>2050.8119999999999</v>
      </c>
      <c r="AI6" s="89">
        <f t="shared" si="13"/>
        <v>38569.224000000002</v>
      </c>
      <c r="AJ6" s="91">
        <f>+'[1]IRPF Secund'!B37</f>
        <v>0.20145853945549197</v>
      </c>
      <c r="AK6" s="89">
        <f t="shared" si="3"/>
        <v>578.64936287800958</v>
      </c>
      <c r="AL6" s="92">
        <f t="shared" si="4"/>
        <v>2131.3006371219908</v>
      </c>
      <c r="AM6" s="92">
        <f t="shared" si="5"/>
        <v>991.80295309580595</v>
      </c>
      <c r="AN6" s="92">
        <f t="shared" si="6"/>
        <v>3606.6090469041951</v>
      </c>
      <c r="AO6" s="92">
        <f t="shared" si="7"/>
        <v>7770.0995349717086</v>
      </c>
      <c r="AP6" s="92">
        <f t="shared" si="14"/>
        <v>28526.224465028292</v>
      </c>
      <c r="AR6" s="92">
        <f t="shared" si="8"/>
        <v>607.19500000000005</v>
      </c>
      <c r="AS6" s="65"/>
      <c r="AT6" s="65"/>
    </row>
    <row r="7" spans="1:46" hidden="1" x14ac:dyDescent="0.25">
      <c r="A7" s="82" t="s">
        <v>53</v>
      </c>
      <c r="B7" s="82">
        <v>24</v>
      </c>
      <c r="C7" s="83" t="s">
        <v>82</v>
      </c>
      <c r="D7" s="84">
        <f t="shared" si="15"/>
        <v>1214.3900000000001</v>
      </c>
      <c r="E7" s="84">
        <f t="shared" si="15"/>
        <v>749.38</v>
      </c>
      <c r="F7" s="84">
        <f t="shared" si="15"/>
        <v>46.74</v>
      </c>
      <c r="G7" s="84">
        <f t="shared" si="15"/>
        <v>28.85</v>
      </c>
      <c r="H7" s="84">
        <f>+H6</f>
        <v>647.12</v>
      </c>
      <c r="I7" s="84">
        <f t="shared" si="9"/>
        <v>647.12</v>
      </c>
      <c r="J7" s="84">
        <f t="shared" ref="J7:J9" si="18">+J6</f>
        <v>672.9</v>
      </c>
      <c r="K7" s="85">
        <f t="shared" si="10"/>
        <v>524.86199999999997</v>
      </c>
      <c r="L7" s="93">
        <f t="shared" si="16"/>
        <v>55</v>
      </c>
      <c r="M7" s="93">
        <f t="shared" si="11"/>
        <v>42.9</v>
      </c>
      <c r="N7" s="93">
        <f t="shared" si="11"/>
        <v>119</v>
      </c>
      <c r="O7" s="93">
        <f t="shared" si="11"/>
        <v>92.820000000000007</v>
      </c>
      <c r="P7" s="93">
        <f t="shared" si="11"/>
        <v>239</v>
      </c>
      <c r="Q7" s="93">
        <f t="shared" si="11"/>
        <v>186.42000000000002</v>
      </c>
      <c r="R7" s="93">
        <f t="shared" si="11"/>
        <v>383</v>
      </c>
      <c r="S7" s="93">
        <f t="shared" si="11"/>
        <v>298.74</v>
      </c>
      <c r="T7" s="93">
        <f t="shared" si="11"/>
        <v>453</v>
      </c>
      <c r="U7" s="93">
        <f t="shared" si="11"/>
        <v>353.34000000000003</v>
      </c>
      <c r="V7" s="93">
        <f t="shared" si="11"/>
        <v>142.66999999999999</v>
      </c>
      <c r="W7" s="93">
        <f t="shared" si="11"/>
        <v>475.26</v>
      </c>
      <c r="X7" s="93">
        <f t="shared" si="11"/>
        <v>33.419999999999995</v>
      </c>
      <c r="Y7" s="93">
        <f t="shared" si="12"/>
        <v>49.44</v>
      </c>
      <c r="Z7" s="93">
        <f t="shared" si="12"/>
        <v>112.91</v>
      </c>
      <c r="AA7" s="66">
        <f>IF([1]Datos!E$11=[1]Retribuciones!C7,[1]Retribuciones!AD7,0)</f>
        <v>0</v>
      </c>
      <c r="AB7" s="66" t="str">
        <f t="shared" si="0"/>
        <v/>
      </c>
      <c r="AC7" s="86">
        <f t="shared" si="17"/>
        <v>1</v>
      </c>
      <c r="AD7" s="87">
        <f t="shared" si="17"/>
        <v>3</v>
      </c>
      <c r="AE7" s="88" t="str">
        <f t="shared" si="17"/>
        <v>Isla Capitalina</v>
      </c>
      <c r="AF7" s="65"/>
      <c r="AG7" s="89">
        <f t="shared" si="1"/>
        <v>2872.3</v>
      </c>
      <c r="AH7" s="90">
        <f t="shared" si="2"/>
        <v>2050.8119999999999</v>
      </c>
      <c r="AI7" s="89">
        <f t="shared" si="13"/>
        <v>38569.224000000002</v>
      </c>
      <c r="AJ7" s="91">
        <f>+'[1]IRPF Secund'!B37</f>
        <v>0.20145853945549197</v>
      </c>
      <c r="AK7" s="89">
        <f t="shared" si="3"/>
        <v>578.64936287800958</v>
      </c>
      <c r="AL7" s="92">
        <f t="shared" si="4"/>
        <v>2131.3006371219908</v>
      </c>
      <c r="AM7" s="92">
        <f t="shared" si="5"/>
        <v>991.80295309580595</v>
      </c>
      <c r="AN7" s="92">
        <f t="shared" si="6"/>
        <v>3606.6090469041951</v>
      </c>
      <c r="AO7" s="92">
        <f t="shared" si="7"/>
        <v>7770.0995349717086</v>
      </c>
      <c r="AP7" s="92">
        <f t="shared" si="14"/>
        <v>28526.224465028292</v>
      </c>
      <c r="AR7" s="92">
        <f t="shared" si="8"/>
        <v>607.19500000000005</v>
      </c>
      <c r="AS7" s="65"/>
      <c r="AT7" s="65"/>
    </row>
    <row r="8" spans="1:46" hidden="1" x14ac:dyDescent="0.25">
      <c r="A8" s="82" t="s">
        <v>53</v>
      </c>
      <c r="B8" s="82">
        <v>24</v>
      </c>
      <c r="C8" s="83" t="s">
        <v>67</v>
      </c>
      <c r="D8" s="84">
        <f t="shared" si="15"/>
        <v>1214.3900000000001</v>
      </c>
      <c r="E8" s="84">
        <f t="shared" si="15"/>
        <v>749.38</v>
      </c>
      <c r="F8" s="84">
        <f t="shared" si="15"/>
        <v>46.74</v>
      </c>
      <c r="G8" s="84">
        <f t="shared" si="15"/>
        <v>28.85</v>
      </c>
      <c r="H8" s="84">
        <f>+H7</f>
        <v>647.12</v>
      </c>
      <c r="I8" s="84">
        <f t="shared" si="9"/>
        <v>647.12</v>
      </c>
      <c r="J8" s="84">
        <f t="shared" si="18"/>
        <v>672.9</v>
      </c>
      <c r="K8" s="85">
        <f t="shared" si="10"/>
        <v>524.86199999999997</v>
      </c>
      <c r="L8" s="93">
        <f t="shared" si="16"/>
        <v>55</v>
      </c>
      <c r="M8" s="93">
        <f t="shared" si="11"/>
        <v>42.9</v>
      </c>
      <c r="N8" s="93">
        <f t="shared" si="11"/>
        <v>119</v>
      </c>
      <c r="O8" s="93">
        <f t="shared" si="11"/>
        <v>92.820000000000007</v>
      </c>
      <c r="P8" s="93">
        <f t="shared" si="11"/>
        <v>239</v>
      </c>
      <c r="Q8" s="93">
        <f t="shared" si="11"/>
        <v>186.42000000000002</v>
      </c>
      <c r="R8" s="93">
        <f t="shared" si="11"/>
        <v>383</v>
      </c>
      <c r="S8" s="93">
        <f t="shared" si="11"/>
        <v>298.74</v>
      </c>
      <c r="T8" s="93">
        <f t="shared" si="11"/>
        <v>453</v>
      </c>
      <c r="U8" s="93">
        <f t="shared" si="11"/>
        <v>353.34000000000003</v>
      </c>
      <c r="V8" s="93">
        <f t="shared" si="11"/>
        <v>142.66999999999999</v>
      </c>
      <c r="W8" s="93">
        <f t="shared" si="11"/>
        <v>475.26</v>
      </c>
      <c r="X8" s="93">
        <f t="shared" si="11"/>
        <v>33.419999999999995</v>
      </c>
      <c r="Y8" s="93">
        <f t="shared" si="12"/>
        <v>49.44</v>
      </c>
      <c r="Z8" s="93">
        <f t="shared" si="12"/>
        <v>112.91</v>
      </c>
      <c r="AA8" s="66">
        <f>IF([1]Datos!E$11=[1]Retribuciones!C8,[1]Retribuciones!AD8,0)</f>
        <v>0</v>
      </c>
      <c r="AB8" s="66" t="str">
        <f t="shared" si="0"/>
        <v/>
      </c>
      <c r="AC8" s="86">
        <f t="shared" si="17"/>
        <v>1</v>
      </c>
      <c r="AD8" s="87">
        <f t="shared" si="17"/>
        <v>3</v>
      </c>
      <c r="AE8" s="88" t="str">
        <f t="shared" si="17"/>
        <v>Isla Capitalina</v>
      </c>
      <c r="AF8" s="65"/>
      <c r="AG8" s="89">
        <f t="shared" si="1"/>
        <v>2872.3</v>
      </c>
      <c r="AH8" s="90">
        <f t="shared" si="2"/>
        <v>2050.8119999999999</v>
      </c>
      <c r="AI8" s="89">
        <f t="shared" si="13"/>
        <v>38569.224000000002</v>
      </c>
      <c r="AJ8" s="91">
        <f>+'[1]IRPF Secund'!B37</f>
        <v>0.20145853945549197</v>
      </c>
      <c r="AK8" s="89">
        <f t="shared" si="3"/>
        <v>578.64936287800958</v>
      </c>
      <c r="AL8" s="92">
        <f t="shared" si="4"/>
        <v>2131.3006371219908</v>
      </c>
      <c r="AM8" s="92">
        <f t="shared" si="5"/>
        <v>991.80295309580595</v>
      </c>
      <c r="AN8" s="92">
        <f t="shared" si="6"/>
        <v>3606.6090469041951</v>
      </c>
      <c r="AO8" s="92">
        <f t="shared" si="7"/>
        <v>7770.0995349717086</v>
      </c>
      <c r="AP8" s="92">
        <f t="shared" si="14"/>
        <v>28526.224465028292</v>
      </c>
      <c r="AR8" s="92">
        <f t="shared" si="8"/>
        <v>607.19500000000005</v>
      </c>
      <c r="AS8" s="65"/>
      <c r="AT8" s="65"/>
    </row>
    <row r="9" spans="1:46" hidden="1" x14ac:dyDescent="0.25">
      <c r="A9" s="82" t="s">
        <v>53</v>
      </c>
      <c r="B9" s="82">
        <v>24</v>
      </c>
      <c r="C9" s="83" t="s">
        <v>81</v>
      </c>
      <c r="D9" s="84">
        <f t="shared" si="15"/>
        <v>1214.3900000000001</v>
      </c>
      <c r="E9" s="84">
        <f t="shared" si="15"/>
        <v>749.38</v>
      </c>
      <c r="F9" s="84">
        <f t="shared" si="15"/>
        <v>46.74</v>
      </c>
      <c r="G9" s="84">
        <f t="shared" si="15"/>
        <v>28.85</v>
      </c>
      <c r="H9" s="84">
        <f>+H8</f>
        <v>647.12</v>
      </c>
      <c r="I9" s="84">
        <f t="shared" si="9"/>
        <v>647.12</v>
      </c>
      <c r="J9" s="84">
        <f t="shared" si="18"/>
        <v>672.9</v>
      </c>
      <c r="K9" s="85">
        <f t="shared" si="10"/>
        <v>524.86199999999997</v>
      </c>
      <c r="L9" s="93">
        <f t="shared" si="16"/>
        <v>55</v>
      </c>
      <c r="M9" s="93">
        <f t="shared" si="11"/>
        <v>42.9</v>
      </c>
      <c r="N9" s="93">
        <f t="shared" si="11"/>
        <v>119</v>
      </c>
      <c r="O9" s="93">
        <f t="shared" si="11"/>
        <v>92.820000000000007</v>
      </c>
      <c r="P9" s="93">
        <f t="shared" si="11"/>
        <v>239</v>
      </c>
      <c r="Q9" s="93">
        <f t="shared" si="11"/>
        <v>186.42000000000002</v>
      </c>
      <c r="R9" s="93">
        <f t="shared" si="11"/>
        <v>383</v>
      </c>
      <c r="S9" s="93">
        <f t="shared" si="11"/>
        <v>298.74</v>
      </c>
      <c r="T9" s="93">
        <f t="shared" si="11"/>
        <v>453</v>
      </c>
      <c r="U9" s="93">
        <f t="shared" si="11"/>
        <v>353.34000000000003</v>
      </c>
      <c r="V9" s="93">
        <f t="shared" si="11"/>
        <v>142.66999999999999</v>
      </c>
      <c r="W9" s="93">
        <f t="shared" si="11"/>
        <v>475.26</v>
      </c>
      <c r="X9" s="93">
        <f t="shared" si="11"/>
        <v>33.419999999999995</v>
      </c>
      <c r="Y9" s="93">
        <f t="shared" si="12"/>
        <v>49.44</v>
      </c>
      <c r="Z9" s="93">
        <f t="shared" si="12"/>
        <v>112.91</v>
      </c>
      <c r="AA9" s="66">
        <f>IF([1]Datos!E$11=[1]Retribuciones!C9,[1]Retribuciones!AD9,0)</f>
        <v>10</v>
      </c>
      <c r="AB9" s="66" t="str">
        <f t="shared" si="0"/>
        <v>A1</v>
      </c>
      <c r="AC9" s="86">
        <f t="shared" si="17"/>
        <v>1</v>
      </c>
      <c r="AD9" s="87">
        <f t="shared" si="17"/>
        <v>3</v>
      </c>
      <c r="AE9" s="88" t="str">
        <f t="shared" si="17"/>
        <v>Isla Capitalina</v>
      </c>
      <c r="AF9" s="65"/>
      <c r="AG9" s="89">
        <f>+D9+((F$15*AA$15)+(F9*AD9)+(F$16*AA$16)+(F$17*AA$17)+(F$18*AA$18)+(F$19*AA$19))+H9+J9+(IF(AC9=L$2,L9,IF(AC9=N$2,N9,IF(AC9=P$2,P9,IF(AC9=R$2,R9,IF(AC9&gt;R$2,T9,0))))))+(IF(AE9=V$3,V9,W9+(X$15*AA$15)+(X$16*AA$16)+(X$17*AA$17)+(X$18*AA$18)+(X$19*AA$19)))</f>
        <v>2872.3</v>
      </c>
      <c r="AH9" s="90">
        <f>+E9+(G9*AD9)+(G$15*AA$15)+(G$16*AA$16)+(G$17*AA$17)+(G$18*AA$18)+(G$19*AA$19)+(IF(AC9=M$2,M9,IF(AC9=O$2,O9,IF(AC9=Q$2,Q9,IF(AC9=S$2,S9,IF(AC9&gt;S$2,U9,0))))))+I9+K9</f>
        <v>2050.8119999999999</v>
      </c>
      <c r="AI9" s="89">
        <f>+(AG9*12)+(AH9*2)</f>
        <v>38569.224000000002</v>
      </c>
      <c r="AJ9" s="91">
        <f>+'[1]IRPF Secund'!B37</f>
        <v>0.20145853945549197</v>
      </c>
      <c r="AK9" s="89">
        <f t="shared" si="3"/>
        <v>578.64936287800958</v>
      </c>
      <c r="AL9" s="92">
        <f t="shared" si="4"/>
        <v>2131.3006371219908</v>
      </c>
      <c r="AM9" s="92">
        <f t="shared" si="5"/>
        <v>991.80295309580595</v>
      </c>
      <c r="AN9" s="92">
        <f t="shared" si="6"/>
        <v>3606.6090469041951</v>
      </c>
      <c r="AO9" s="92">
        <f t="shared" si="7"/>
        <v>7770.0995349717086</v>
      </c>
      <c r="AP9" s="92">
        <f t="shared" si="14"/>
        <v>28526.224465028292</v>
      </c>
      <c r="AR9" s="92">
        <f t="shared" si="8"/>
        <v>607.19500000000005</v>
      </c>
      <c r="AS9" s="65"/>
      <c r="AT9" s="65"/>
    </row>
    <row r="10" spans="1:46" hidden="1" x14ac:dyDescent="0.25">
      <c r="A10" s="82" t="s">
        <v>80</v>
      </c>
      <c r="B10" s="82">
        <v>24</v>
      </c>
      <c r="C10" s="83" t="s">
        <v>69</v>
      </c>
      <c r="D10" s="106">
        <f>+J26</f>
        <v>1050.06</v>
      </c>
      <c r="E10" s="106">
        <f>+J27</f>
        <v>765.83</v>
      </c>
      <c r="F10" s="106">
        <f>+J28</f>
        <v>38.119999999999997</v>
      </c>
      <c r="G10" s="106">
        <f>+J29</f>
        <v>27.79</v>
      </c>
      <c r="H10" s="84">
        <f>+H9</f>
        <v>647.12</v>
      </c>
      <c r="I10" s="84">
        <f>+H10</f>
        <v>647.12</v>
      </c>
      <c r="J10" s="99">
        <f>+J32</f>
        <v>674.93999999999994</v>
      </c>
      <c r="K10" s="85">
        <f t="shared" si="10"/>
        <v>526.45319999999992</v>
      </c>
      <c r="L10" s="93">
        <f t="shared" si="16"/>
        <v>55</v>
      </c>
      <c r="M10" s="93">
        <f t="shared" si="11"/>
        <v>42.9</v>
      </c>
      <c r="N10" s="93">
        <f t="shared" si="11"/>
        <v>119</v>
      </c>
      <c r="O10" s="93">
        <f t="shared" si="11"/>
        <v>92.820000000000007</v>
      </c>
      <c r="P10" s="93">
        <f t="shared" si="11"/>
        <v>239</v>
      </c>
      <c r="Q10" s="93">
        <f t="shared" si="11"/>
        <v>186.42000000000002</v>
      </c>
      <c r="R10" s="93">
        <f t="shared" si="11"/>
        <v>383</v>
      </c>
      <c r="S10" s="93">
        <f t="shared" si="11"/>
        <v>298.74</v>
      </c>
      <c r="T10" s="93">
        <f t="shared" si="11"/>
        <v>453</v>
      </c>
      <c r="U10" s="93">
        <f t="shared" si="11"/>
        <v>353.34000000000003</v>
      </c>
      <c r="V10" s="106">
        <f>+J44</f>
        <v>128.41999999999999</v>
      </c>
      <c r="W10" s="106">
        <f>+J45</f>
        <v>427.74</v>
      </c>
      <c r="X10" s="106">
        <f>+J46</f>
        <v>30.05</v>
      </c>
      <c r="Y10" s="108">
        <f>+J47</f>
        <v>38.909999999999997</v>
      </c>
      <c r="Z10" s="108">
        <f>+J48</f>
        <v>88.86</v>
      </c>
      <c r="AA10" s="66">
        <f>IF([1]Datos!E$11=[1]Retribuciones!C10,[1]Retribuciones!AD10,0)</f>
        <v>0</v>
      </c>
      <c r="AB10" s="66" t="str">
        <f t="shared" si="0"/>
        <v/>
      </c>
      <c r="AC10" s="86">
        <f t="shared" si="17"/>
        <v>1</v>
      </c>
      <c r="AD10" s="87">
        <f>+'[1]Tiempos de cotización'!K6</f>
        <v>0</v>
      </c>
      <c r="AE10" s="88" t="str">
        <f t="shared" si="17"/>
        <v>Isla Capitalina</v>
      </c>
      <c r="AF10" s="65"/>
      <c r="AG10" s="89">
        <f t="shared" ref="AG10:AG13" si="19">+D10+((F$15*AA$15)+(F10*AD10)+(F$16*AA$16)+(F$17*AA$17)+(F$18*AA$18)+(F$19*AA$19))+H10+J10+(IF(AC10=L$2,L10,IF(AC10=N$2,N10,IF(AC10=P$2,P10,IF(AC10=R$2,R10,IF(AC10&gt;R$2,T10,0))))))+(IF(AE10=V$3,V10,W10+(X$15*AA$15)+(X$16*AA$16)+(X$17*AA$17)+(X$18*AA$18)+(X$19*AA$19)))</f>
        <v>2555.54</v>
      </c>
      <c r="AH10" s="90">
        <f t="shared" ref="AH10:AH13" si="20">+E10+(G10*AD10)+(G$15*AA$15)+(G$16*AA$16)+(G$17*AA$17)+(G$18*AA$18)+(G$19*AA$19)+(IF(AC10=M$2,M10,IF(AC10=O$2,O10,IF(AC10=Q$2,Q10,IF(AC10=S$2,S10,IF(AC10&gt;S$2,U10,0))))))+I10+K10</f>
        <v>1982.3031999999998</v>
      </c>
      <c r="AI10" s="89">
        <f t="shared" si="13"/>
        <v>34631.0864</v>
      </c>
      <c r="AJ10" s="91">
        <f>'[1]IRPF TecnFP'!B37</f>
        <v>0.19764910426018828</v>
      </c>
      <c r="AK10" s="89">
        <f t="shared" si="3"/>
        <v>505.10019190108153</v>
      </c>
      <c r="AL10" s="92">
        <f t="shared" si="4"/>
        <v>1922.6698080989186</v>
      </c>
      <c r="AM10" s="92">
        <f t="shared" si="5"/>
        <v>896.90064375318627</v>
      </c>
      <c r="AN10" s="92">
        <f t="shared" si="6"/>
        <v>3385.4025562468141</v>
      </c>
      <c r="AO10" s="92">
        <f t="shared" si="7"/>
        <v>6844.8032065171883</v>
      </c>
      <c r="AP10" s="92">
        <f t="shared" si="14"/>
        <v>25997.503193482815</v>
      </c>
      <c r="AR10" s="92">
        <f>+((D10+(F$19*AA$19)+(F$18*AA$18))/2)</f>
        <v>525.03</v>
      </c>
      <c r="AS10" s="65"/>
      <c r="AT10" s="65"/>
    </row>
    <row r="11" spans="1:46" hidden="1" x14ac:dyDescent="0.25">
      <c r="A11" s="82" t="s">
        <v>80</v>
      </c>
      <c r="B11" s="82">
        <v>24</v>
      </c>
      <c r="C11" s="83" t="s">
        <v>66</v>
      </c>
      <c r="D11" s="84">
        <f t="shared" ref="D11:G13" si="21">+D10</f>
        <v>1050.06</v>
      </c>
      <c r="E11" s="84">
        <f t="shared" si="21"/>
        <v>765.83</v>
      </c>
      <c r="F11" s="84">
        <f t="shared" si="21"/>
        <v>38.119999999999997</v>
      </c>
      <c r="G11" s="84">
        <f t="shared" si="21"/>
        <v>27.79</v>
      </c>
      <c r="H11" s="84">
        <f>+H10</f>
        <v>647.12</v>
      </c>
      <c r="I11" s="84">
        <f t="shared" si="9"/>
        <v>647.12</v>
      </c>
      <c r="J11" s="84">
        <f>+J10</f>
        <v>674.93999999999994</v>
      </c>
      <c r="K11" s="85">
        <f t="shared" si="10"/>
        <v>526.45319999999992</v>
      </c>
      <c r="L11" s="93">
        <f t="shared" si="16"/>
        <v>55</v>
      </c>
      <c r="M11" s="93">
        <f t="shared" si="11"/>
        <v>42.9</v>
      </c>
      <c r="N11" s="93">
        <f t="shared" si="11"/>
        <v>119</v>
      </c>
      <c r="O11" s="93">
        <f t="shared" si="11"/>
        <v>92.820000000000007</v>
      </c>
      <c r="P11" s="93">
        <f t="shared" si="11"/>
        <v>239</v>
      </c>
      <c r="Q11" s="93">
        <f t="shared" si="11"/>
        <v>186.42000000000002</v>
      </c>
      <c r="R11" s="93">
        <f t="shared" si="11"/>
        <v>383</v>
      </c>
      <c r="S11" s="93">
        <f t="shared" si="11"/>
        <v>298.74</v>
      </c>
      <c r="T11" s="93">
        <f t="shared" si="11"/>
        <v>453</v>
      </c>
      <c r="U11" s="93">
        <f t="shared" si="11"/>
        <v>353.34000000000003</v>
      </c>
      <c r="V11" s="93">
        <f t="shared" si="11"/>
        <v>128.41999999999999</v>
      </c>
      <c r="W11" s="93">
        <f t="shared" si="11"/>
        <v>427.74</v>
      </c>
      <c r="X11" s="93">
        <f t="shared" si="11"/>
        <v>30.05</v>
      </c>
      <c r="Y11" s="93">
        <f t="shared" si="11"/>
        <v>38.909999999999997</v>
      </c>
      <c r="Z11" s="93">
        <f t="shared" si="11"/>
        <v>88.86</v>
      </c>
      <c r="AA11" s="66">
        <f>IF([1]Datos!E$11=[1]Retribuciones!C11,[1]Retribuciones!AD11,0)</f>
        <v>0</v>
      </c>
      <c r="AB11" s="66" t="str">
        <f t="shared" si="0"/>
        <v/>
      </c>
      <c r="AC11" s="86">
        <f t="shared" si="17"/>
        <v>1</v>
      </c>
      <c r="AD11" s="87">
        <f>+AD10</f>
        <v>0</v>
      </c>
      <c r="AE11" s="88" t="str">
        <f t="shared" si="17"/>
        <v>Isla Capitalina</v>
      </c>
      <c r="AF11" s="65"/>
      <c r="AG11" s="89">
        <f t="shared" si="19"/>
        <v>2555.54</v>
      </c>
      <c r="AH11" s="90">
        <f t="shared" si="20"/>
        <v>1982.3031999999998</v>
      </c>
      <c r="AI11" s="89">
        <f t="shared" si="13"/>
        <v>34631.0864</v>
      </c>
      <c r="AJ11" s="91">
        <f>+'[1]IRPF TecnFP'!B37</f>
        <v>0.19764910426018828</v>
      </c>
      <c r="AK11" s="89">
        <f t="shared" si="3"/>
        <v>505.10019190108153</v>
      </c>
      <c r="AL11" s="92">
        <f t="shared" si="4"/>
        <v>1922.6698080989186</v>
      </c>
      <c r="AM11" s="92">
        <f t="shared" si="5"/>
        <v>896.90064375318627</v>
      </c>
      <c r="AN11" s="92">
        <f t="shared" si="6"/>
        <v>3385.4025562468141</v>
      </c>
      <c r="AO11" s="92">
        <f t="shared" si="7"/>
        <v>6844.8032065171883</v>
      </c>
      <c r="AP11" s="92">
        <f t="shared" si="14"/>
        <v>25997.503193482815</v>
      </c>
      <c r="AR11" s="92">
        <f t="shared" si="8"/>
        <v>525.03</v>
      </c>
      <c r="AS11" s="65"/>
      <c r="AT11" s="65"/>
    </row>
    <row r="12" spans="1:46" hidden="1" x14ac:dyDescent="0.25">
      <c r="A12" s="82" t="s">
        <v>80</v>
      </c>
      <c r="B12" s="82">
        <v>21</v>
      </c>
      <c r="C12" s="83" t="s">
        <v>170</v>
      </c>
      <c r="D12" s="84">
        <f t="shared" si="21"/>
        <v>1050.06</v>
      </c>
      <c r="E12" s="84">
        <f t="shared" si="21"/>
        <v>765.83</v>
      </c>
      <c r="F12" s="84">
        <f t="shared" si="21"/>
        <v>38.119999999999997</v>
      </c>
      <c r="G12" s="84">
        <f t="shared" si="21"/>
        <v>27.79</v>
      </c>
      <c r="H12" s="99">
        <f>+L30</f>
        <v>525.48</v>
      </c>
      <c r="I12" s="84">
        <f t="shared" si="9"/>
        <v>525.48</v>
      </c>
      <c r="J12" s="99">
        <f>+M32</f>
        <v>796.56999999999994</v>
      </c>
      <c r="K12" s="85">
        <f t="shared" si="10"/>
        <v>621.32459999999992</v>
      </c>
      <c r="L12" s="93">
        <f t="shared" si="16"/>
        <v>55</v>
      </c>
      <c r="M12" s="93">
        <f t="shared" si="11"/>
        <v>42.9</v>
      </c>
      <c r="N12" s="93">
        <f t="shared" si="11"/>
        <v>119</v>
      </c>
      <c r="O12" s="93">
        <f t="shared" si="11"/>
        <v>92.820000000000007</v>
      </c>
      <c r="P12" s="93">
        <f t="shared" si="11"/>
        <v>239</v>
      </c>
      <c r="Q12" s="93">
        <f t="shared" si="11"/>
        <v>186.42000000000002</v>
      </c>
      <c r="R12" s="93">
        <f t="shared" si="11"/>
        <v>383</v>
      </c>
      <c r="S12" s="93">
        <f t="shared" si="11"/>
        <v>298.74</v>
      </c>
      <c r="T12" s="93">
        <f t="shared" si="11"/>
        <v>453</v>
      </c>
      <c r="U12" s="93">
        <f t="shared" si="11"/>
        <v>353.34000000000003</v>
      </c>
      <c r="V12" s="93">
        <f t="shared" si="11"/>
        <v>128.41999999999999</v>
      </c>
      <c r="W12" s="93">
        <f t="shared" si="11"/>
        <v>427.74</v>
      </c>
      <c r="X12" s="93">
        <f t="shared" si="11"/>
        <v>30.05</v>
      </c>
      <c r="Y12" s="93">
        <f t="shared" si="11"/>
        <v>38.909999999999997</v>
      </c>
      <c r="Z12" s="93">
        <f t="shared" si="11"/>
        <v>88.86</v>
      </c>
      <c r="AA12" s="66">
        <f>IF([1]Datos!E$11=[1]Retribuciones!C12,[1]Retribuciones!AD12,0)</f>
        <v>0</v>
      </c>
      <c r="AB12" s="66" t="str">
        <f t="shared" si="0"/>
        <v/>
      </c>
      <c r="AC12" s="86">
        <f t="shared" si="17"/>
        <v>1</v>
      </c>
      <c r="AD12" s="87">
        <f t="shared" si="17"/>
        <v>0</v>
      </c>
      <c r="AE12" s="88" t="str">
        <f t="shared" si="17"/>
        <v>Isla Capitalina</v>
      </c>
      <c r="AF12" s="65"/>
      <c r="AG12" s="89">
        <f t="shared" si="19"/>
        <v>2555.5299999999997</v>
      </c>
      <c r="AH12" s="90">
        <f t="shared" si="20"/>
        <v>1955.5346</v>
      </c>
      <c r="AI12" s="89">
        <f t="shared" si="13"/>
        <v>34577.429199999999</v>
      </c>
      <c r="AJ12" s="91">
        <f>+'[1]IRPF 1º y 2ª ESO'!B37</f>
        <v>0.19742671928307923</v>
      </c>
      <c r="AK12" s="89">
        <f t="shared" si="3"/>
        <v>504.52990392948743</v>
      </c>
      <c r="AL12" s="92">
        <f t="shared" si="4"/>
        <v>1923.2300960705124</v>
      </c>
      <c r="AM12" s="92">
        <f t="shared" si="5"/>
        <v>890.60468445203605</v>
      </c>
      <c r="AN12" s="92">
        <f t="shared" si="6"/>
        <v>3364.9199155479646</v>
      </c>
      <c r="AO12" s="92">
        <f t="shared" si="7"/>
        <v>6826.5084081989462</v>
      </c>
      <c r="AP12" s="92">
        <f t="shared" si="14"/>
        <v>25962.140791801052</v>
      </c>
      <c r="AR12" s="92">
        <f t="shared" si="8"/>
        <v>525.03</v>
      </c>
      <c r="AS12" s="65"/>
      <c r="AT12" s="65"/>
    </row>
    <row r="13" spans="1:46" hidden="1" x14ac:dyDescent="0.25">
      <c r="A13" s="82" t="s">
        <v>80</v>
      </c>
      <c r="B13" s="82">
        <v>21</v>
      </c>
      <c r="C13" s="83" t="s">
        <v>70</v>
      </c>
      <c r="D13" s="84">
        <f t="shared" si="21"/>
        <v>1050.06</v>
      </c>
      <c r="E13" s="84">
        <f t="shared" si="21"/>
        <v>765.83</v>
      </c>
      <c r="F13" s="84">
        <f t="shared" si="21"/>
        <v>38.119999999999997</v>
      </c>
      <c r="G13" s="84">
        <f t="shared" si="21"/>
        <v>27.79</v>
      </c>
      <c r="H13" s="84">
        <f>+H12</f>
        <v>525.48</v>
      </c>
      <c r="I13" s="84">
        <f t="shared" si="9"/>
        <v>525.48</v>
      </c>
      <c r="J13" s="99">
        <v>694.41042499999992</v>
      </c>
      <c r="K13" s="85">
        <f t="shared" si="10"/>
        <v>541.64013149999994</v>
      </c>
      <c r="L13" s="93">
        <f t="shared" si="16"/>
        <v>55</v>
      </c>
      <c r="M13" s="93">
        <f t="shared" si="11"/>
        <v>42.9</v>
      </c>
      <c r="N13" s="93">
        <f t="shared" si="11"/>
        <v>119</v>
      </c>
      <c r="O13" s="93">
        <f t="shared" si="11"/>
        <v>92.820000000000007</v>
      </c>
      <c r="P13" s="93">
        <f t="shared" si="11"/>
        <v>239</v>
      </c>
      <c r="Q13" s="93">
        <f t="shared" si="11"/>
        <v>186.42000000000002</v>
      </c>
      <c r="R13" s="93">
        <f t="shared" si="11"/>
        <v>383</v>
      </c>
      <c r="S13" s="93">
        <f t="shared" si="11"/>
        <v>298.74</v>
      </c>
      <c r="T13" s="93">
        <f t="shared" si="11"/>
        <v>453</v>
      </c>
      <c r="U13" s="93">
        <f t="shared" si="11"/>
        <v>353.34000000000003</v>
      </c>
      <c r="V13" s="93">
        <f t="shared" si="11"/>
        <v>128.41999999999999</v>
      </c>
      <c r="W13" s="93">
        <f t="shared" si="11"/>
        <v>427.74</v>
      </c>
      <c r="X13" s="93">
        <f t="shared" si="11"/>
        <v>30.05</v>
      </c>
      <c r="Y13" s="93">
        <f t="shared" si="11"/>
        <v>38.909999999999997</v>
      </c>
      <c r="Z13" s="93">
        <f t="shared" si="11"/>
        <v>88.86</v>
      </c>
      <c r="AA13" s="66">
        <f>IF([1]Datos!E$11=[1]Retribuciones!C13,[1]Retribuciones!AD13,0)</f>
        <v>0</v>
      </c>
      <c r="AB13" s="66" t="str">
        <f>IF(AA13&gt;0,A13,"")</f>
        <v/>
      </c>
      <c r="AC13" s="86">
        <f t="shared" si="17"/>
        <v>1</v>
      </c>
      <c r="AD13" s="87">
        <f t="shared" si="17"/>
        <v>0</v>
      </c>
      <c r="AE13" s="88" t="str">
        <f t="shared" si="17"/>
        <v>Isla Capitalina</v>
      </c>
      <c r="AF13" s="65"/>
      <c r="AG13" s="89">
        <f t="shared" si="19"/>
        <v>2453.3704250000001</v>
      </c>
      <c r="AH13" s="90">
        <f t="shared" si="20"/>
        <v>1875.8501314999999</v>
      </c>
      <c r="AI13" s="89">
        <f>+(AG13*12)+(AH13*2)</f>
        <v>33192.145363000003</v>
      </c>
      <c r="AJ13" s="91">
        <f>+'[1]IRPF Maestros'!B37</f>
        <v>0.19440379057901822</v>
      </c>
      <c r="AK13" s="89">
        <f t="shared" si="3"/>
        <v>476.94451031445692</v>
      </c>
      <c r="AL13" s="92">
        <f t="shared" si="4"/>
        <v>1848.6559146855432</v>
      </c>
      <c r="AM13" s="92">
        <f>(+AG13+AH13)*AJ13</f>
        <v>841.61688643620676</v>
      </c>
      <c r="AN13" s="92">
        <f>(+AG13+AH13)-Y13-Y13-Z13-Z13-AM13</f>
        <v>3232.0636700637942</v>
      </c>
      <c r="AO13" s="92">
        <f t="shared" si="7"/>
        <v>6452.6788760169829</v>
      </c>
      <c r="AP13" s="92">
        <f t="shared" si="14"/>
        <v>24950.686486983021</v>
      </c>
      <c r="AR13" s="92">
        <f>+((D13+(F$19*AA$19)+(F$18*AA$18))/2)</f>
        <v>525.03</v>
      </c>
      <c r="AS13" s="65"/>
      <c r="AT13" s="65"/>
    </row>
    <row r="14" spans="1:46" hidden="1" x14ac:dyDescent="0.25">
      <c r="A14" s="82" t="s">
        <v>128</v>
      </c>
      <c r="B14" s="65"/>
      <c r="C14" s="65"/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65"/>
      <c r="R14" s="65"/>
      <c r="S14" s="65"/>
      <c r="T14" s="65"/>
      <c r="U14" s="65"/>
      <c r="V14" s="65"/>
      <c r="W14" s="65"/>
      <c r="X14" s="65"/>
      <c r="Y14" s="65"/>
      <c r="Z14" s="65"/>
      <c r="AA14" s="66">
        <f>+AD14</f>
        <v>0</v>
      </c>
      <c r="AB14" s="66"/>
      <c r="AC14" s="94"/>
      <c r="AD14" s="87">
        <f>+'[1]Tiempos de cotización'!K7</f>
        <v>0</v>
      </c>
      <c r="AE14" s="88" t="str">
        <f t="shared" si="17"/>
        <v>Isla Capitalina</v>
      </c>
      <c r="AF14" s="65"/>
      <c r="AG14" s="65"/>
      <c r="AH14" s="65"/>
      <c r="AI14" s="65"/>
      <c r="AP14" s="40"/>
      <c r="AS14" s="65"/>
      <c r="AT14" s="65"/>
    </row>
    <row r="15" spans="1:46" hidden="1" x14ac:dyDescent="0.25">
      <c r="A15" s="82" t="s">
        <v>127</v>
      </c>
      <c r="B15" s="65"/>
      <c r="C15" s="65"/>
      <c r="D15" s="65"/>
      <c r="E15" s="65"/>
      <c r="F15" s="106">
        <v>27.95</v>
      </c>
      <c r="G15" s="106">
        <v>24.14</v>
      </c>
      <c r="H15" s="65"/>
      <c r="I15" s="65"/>
      <c r="J15" s="65"/>
      <c r="K15" s="65"/>
      <c r="L15" s="65"/>
      <c r="M15" s="65"/>
      <c r="N15" s="65"/>
      <c r="O15" s="65"/>
      <c r="P15" s="65"/>
      <c r="Q15" s="65"/>
      <c r="R15" s="65"/>
      <c r="S15" s="65"/>
      <c r="T15" s="65"/>
      <c r="U15" s="65"/>
      <c r="V15" s="100">
        <v>100.3</v>
      </c>
      <c r="W15" s="100">
        <v>333.98</v>
      </c>
      <c r="X15" s="101">
        <v>23.52</v>
      </c>
      <c r="Y15" s="65"/>
      <c r="Z15" s="65"/>
      <c r="AA15" s="66">
        <f>+AD15</f>
        <v>0</v>
      </c>
      <c r="AB15" s="66"/>
      <c r="AC15" s="94"/>
      <c r="AD15" s="87">
        <f>+'[1]Tiempos de cotización'!K8</f>
        <v>0</v>
      </c>
      <c r="AE15" s="88" t="str">
        <f t="shared" si="17"/>
        <v>Isla Capitalina</v>
      </c>
      <c r="AF15" s="65"/>
      <c r="AG15" s="65"/>
      <c r="AH15" s="65"/>
      <c r="AI15" s="65"/>
      <c r="AS15" s="65"/>
      <c r="AT15" s="65"/>
    </row>
    <row r="16" spans="1:46" hidden="1" x14ac:dyDescent="0.25">
      <c r="A16" s="82" t="s">
        <v>126</v>
      </c>
      <c r="B16" s="65"/>
      <c r="C16" s="65"/>
      <c r="D16" s="65"/>
      <c r="E16" s="65"/>
      <c r="F16" s="106">
        <v>19.02</v>
      </c>
      <c r="G16" s="106">
        <v>18.84</v>
      </c>
      <c r="H16" s="65"/>
      <c r="I16" s="65"/>
      <c r="J16" s="65"/>
      <c r="K16" s="65"/>
      <c r="L16" s="65"/>
      <c r="M16" s="65"/>
      <c r="N16" s="65"/>
      <c r="O16" s="65"/>
      <c r="P16" s="65"/>
      <c r="Q16" s="65"/>
      <c r="R16" s="65"/>
      <c r="S16" s="65"/>
      <c r="T16" s="65"/>
      <c r="U16" s="65"/>
      <c r="V16" s="100">
        <v>65.72</v>
      </c>
      <c r="W16" s="100">
        <v>218.86</v>
      </c>
      <c r="X16" s="101">
        <v>15.44</v>
      </c>
      <c r="Y16" s="65"/>
      <c r="Z16" s="65"/>
      <c r="AA16" s="66">
        <f t="shared" ref="AA16:AA19" si="22">+AD16</f>
        <v>0</v>
      </c>
      <c r="AB16" s="66"/>
      <c r="AC16" s="94"/>
      <c r="AD16" s="87">
        <f>+'[1]Tiempos de cotización'!K9</f>
        <v>0</v>
      </c>
      <c r="AE16" s="88" t="str">
        <f t="shared" si="17"/>
        <v>Isla Capitalina</v>
      </c>
      <c r="AF16" s="65"/>
      <c r="AG16" s="65"/>
      <c r="AH16" s="65"/>
      <c r="AI16" s="65"/>
      <c r="AS16" s="65"/>
      <c r="AT16" s="65"/>
    </row>
    <row r="17" spans="1:50" hidden="1" x14ac:dyDescent="0.25">
      <c r="A17" s="82" t="s">
        <v>125</v>
      </c>
      <c r="B17" s="65"/>
      <c r="C17" s="65"/>
      <c r="D17" s="65"/>
      <c r="E17" s="65"/>
      <c r="F17" s="106">
        <v>14.32</v>
      </c>
      <c r="G17" s="106">
        <v>14.32</v>
      </c>
      <c r="H17" s="65"/>
      <c r="I17" s="65"/>
      <c r="J17" s="65"/>
      <c r="K17" s="65"/>
      <c r="L17" s="65"/>
      <c r="M17" s="65"/>
      <c r="N17" s="65"/>
      <c r="O17" s="65"/>
      <c r="P17" s="65"/>
      <c r="Q17" s="65"/>
      <c r="R17" s="65"/>
      <c r="S17" s="65"/>
      <c r="T17" s="65"/>
      <c r="U17" s="65"/>
      <c r="V17" s="100">
        <v>51.92</v>
      </c>
      <c r="W17" s="100">
        <v>172.79</v>
      </c>
      <c r="X17" s="101">
        <v>12.22</v>
      </c>
      <c r="Y17" s="65"/>
      <c r="Z17" s="65"/>
      <c r="AA17" s="66">
        <f t="shared" si="22"/>
        <v>0</v>
      </c>
      <c r="AB17" s="66"/>
      <c r="AC17" s="94"/>
      <c r="AD17" s="87">
        <f>+'[1]Tiempos de cotización'!K10</f>
        <v>0</v>
      </c>
      <c r="AE17" s="88" t="str">
        <f t="shared" si="17"/>
        <v>Isla Capitalina</v>
      </c>
      <c r="AF17" s="65"/>
      <c r="AG17" s="65"/>
      <c r="AH17" s="65"/>
      <c r="AI17" s="65"/>
      <c r="AS17" s="65"/>
      <c r="AT17" s="65"/>
    </row>
    <row r="18" spans="1:50" hidden="1" x14ac:dyDescent="0.25">
      <c r="A18" s="82" t="s">
        <v>53</v>
      </c>
      <c r="B18" s="65"/>
      <c r="C18" s="65"/>
      <c r="D18" s="65"/>
      <c r="E18" s="65"/>
      <c r="F18" s="106">
        <f>+F4</f>
        <v>46.74</v>
      </c>
      <c r="G18" s="65"/>
      <c r="H18" s="65"/>
      <c r="I18" s="65"/>
      <c r="J18" s="65"/>
      <c r="K18" s="65"/>
      <c r="L18" s="65"/>
      <c r="M18" s="65"/>
      <c r="N18" s="65"/>
      <c r="O18" s="65"/>
      <c r="P18" s="65"/>
      <c r="Q18" s="65"/>
      <c r="R18" s="65"/>
      <c r="S18" s="65"/>
      <c r="T18" s="65"/>
      <c r="U18" s="65"/>
      <c r="V18" s="65"/>
      <c r="W18" s="65"/>
      <c r="X18" s="99">
        <f>+X4</f>
        <v>41.72</v>
      </c>
      <c r="Y18" s="65"/>
      <c r="Z18" s="65"/>
      <c r="AA18" s="66">
        <f t="shared" si="22"/>
        <v>0</v>
      </c>
      <c r="AC18" s="65"/>
      <c r="AD18" s="87">
        <v>0</v>
      </c>
      <c r="AE18" s="88" t="str">
        <f t="shared" si="17"/>
        <v>Isla Capitalina</v>
      </c>
      <c r="AF18" s="65"/>
      <c r="AG18" s="65"/>
      <c r="AH18" s="65"/>
      <c r="AI18" s="65"/>
      <c r="AJ18" s="65"/>
      <c r="AK18" s="65"/>
      <c r="AL18" s="65"/>
      <c r="AM18" s="65"/>
      <c r="AS18" s="65"/>
      <c r="AT18" s="65"/>
    </row>
    <row r="19" spans="1:50" hidden="1" x14ac:dyDescent="0.25">
      <c r="A19" s="82" t="s">
        <v>80</v>
      </c>
      <c r="B19" s="65"/>
      <c r="C19" s="65"/>
      <c r="D19" s="65"/>
      <c r="E19" s="65"/>
      <c r="F19" s="106">
        <f>+F10</f>
        <v>38.119999999999997</v>
      </c>
      <c r="G19" s="65"/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65"/>
      <c r="S19" s="65"/>
      <c r="T19" s="65"/>
      <c r="U19" s="65"/>
      <c r="V19" s="65"/>
      <c r="W19" s="65"/>
      <c r="X19" s="99">
        <f>+X10</f>
        <v>30.05</v>
      </c>
      <c r="Y19" s="65"/>
      <c r="Z19" s="65"/>
      <c r="AA19" s="66">
        <f t="shared" si="22"/>
        <v>0</v>
      </c>
      <c r="AC19" s="65"/>
      <c r="AD19" s="87">
        <f>+'[1]Tiempos de cotización'!K6</f>
        <v>0</v>
      </c>
      <c r="AE19" s="88" t="str">
        <f t="shared" si="17"/>
        <v>Isla Capitalina</v>
      </c>
      <c r="AF19" s="65"/>
      <c r="AG19" s="65"/>
      <c r="AH19" s="65"/>
      <c r="AI19" s="65"/>
      <c r="AJ19" s="65"/>
      <c r="AK19" s="65"/>
      <c r="AL19" s="65"/>
      <c r="AM19" s="65"/>
      <c r="AS19" s="65"/>
      <c r="AT19" s="65"/>
    </row>
    <row r="20" spans="1:50" hidden="1" x14ac:dyDescent="0.25">
      <c r="A20" s="65"/>
      <c r="B20" s="65"/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65"/>
      <c r="S20" s="65"/>
      <c r="T20" s="65"/>
      <c r="U20" s="65"/>
      <c r="V20" s="65"/>
      <c r="W20" s="65"/>
      <c r="X20" s="65"/>
      <c r="Y20" s="65"/>
      <c r="Z20" s="65"/>
      <c r="AC20" s="65"/>
      <c r="AD20" s="65"/>
      <c r="AE20" s="65"/>
      <c r="AF20" s="65"/>
      <c r="AG20" s="97"/>
      <c r="AH20" s="65"/>
      <c r="AI20" s="65"/>
      <c r="AJ20" s="65"/>
      <c r="AK20" s="65"/>
      <c r="AL20" s="65"/>
      <c r="AM20" s="65"/>
      <c r="AS20" s="65"/>
      <c r="AT20" s="65"/>
    </row>
    <row r="21" spans="1:50" hidden="1" x14ac:dyDescent="0.25">
      <c r="A21" s="65"/>
      <c r="B21" s="65"/>
      <c r="C21" s="65"/>
      <c r="D21" s="65"/>
      <c r="E21" s="65"/>
      <c r="F21" s="65"/>
      <c r="G21" s="65"/>
      <c r="H21" s="65"/>
      <c r="I21" s="65"/>
      <c r="J21" s="65"/>
      <c r="K21" s="65"/>
      <c r="L21" s="65"/>
      <c r="M21" s="65"/>
      <c r="N21" s="65"/>
      <c r="O21" s="65"/>
      <c r="P21" s="65"/>
      <c r="Q21" s="65"/>
      <c r="R21" s="65"/>
      <c r="S21" s="65"/>
      <c r="T21" s="65"/>
      <c r="U21" s="65"/>
      <c r="V21" s="65"/>
      <c r="W21" s="65"/>
      <c r="X21" s="65"/>
      <c r="Y21" s="65"/>
      <c r="Z21" s="65"/>
      <c r="AA21" s="65"/>
      <c r="AB21" s="65"/>
      <c r="AC21" s="65"/>
      <c r="AD21" s="65"/>
      <c r="AE21" s="65"/>
      <c r="AF21" s="65"/>
      <c r="AG21" s="65"/>
      <c r="AH21" s="65"/>
      <c r="AI21" s="65"/>
      <c r="AJ21" s="65"/>
      <c r="AK21" s="65"/>
      <c r="AL21" s="65"/>
      <c r="AM21" s="65"/>
      <c r="AN21" s="65"/>
      <c r="AO21" s="65"/>
      <c r="AP21" s="65"/>
      <c r="AQ21" s="65"/>
      <c r="AR21" s="65"/>
      <c r="AS21" s="65"/>
      <c r="AT21" s="65"/>
    </row>
    <row r="22" spans="1:50" x14ac:dyDescent="0.25">
      <c r="A22" s="65"/>
      <c r="B22" s="65"/>
      <c r="C22" s="65"/>
      <c r="D22" s="65"/>
      <c r="E22" s="65"/>
      <c r="F22" s="65"/>
      <c r="G22" s="65"/>
      <c r="H22" s="65"/>
      <c r="I22" s="65"/>
      <c r="J22" s="65"/>
      <c r="K22" s="65"/>
      <c r="L22" s="65"/>
      <c r="M22" s="65"/>
      <c r="N22" s="65"/>
      <c r="O22" s="65"/>
      <c r="P22" s="122" t="str">
        <f>+Nóminab!C10</f>
        <v>Agosto</v>
      </c>
      <c r="R22" s="65"/>
      <c r="S22" s="65"/>
      <c r="T22" s="65"/>
      <c r="U22" s="65"/>
      <c r="V22" s="65"/>
      <c r="W22" s="65"/>
      <c r="X22" s="95"/>
      <c r="Y22" s="65"/>
      <c r="Z22" s="65"/>
      <c r="AA22" s="65"/>
      <c r="AB22" s="65"/>
      <c r="AC22" s="65"/>
      <c r="AD22" s="65"/>
      <c r="AE22" s="65"/>
      <c r="AF22" s="65"/>
      <c r="AG22" s="65"/>
      <c r="AH22" s="65"/>
      <c r="AI22" s="65"/>
      <c r="AJ22" s="65"/>
      <c r="AK22" s="65"/>
      <c r="AL22" s="65"/>
      <c r="AM22" s="65"/>
      <c r="AN22" s="65"/>
      <c r="AO22" s="65"/>
      <c r="AP22" s="65"/>
      <c r="AQ22" s="65"/>
      <c r="AR22" s="65"/>
      <c r="AS22" s="65"/>
      <c r="AT22" s="65"/>
    </row>
    <row r="23" spans="1:50" ht="78.75" x14ac:dyDescent="0.25">
      <c r="A23" s="65"/>
      <c r="B23" s="65"/>
      <c r="C23" s="80" t="s">
        <v>124</v>
      </c>
      <c r="D23" s="34" t="s">
        <v>71</v>
      </c>
      <c r="E23" s="34" t="s">
        <v>72</v>
      </c>
      <c r="F23" s="34" t="s">
        <v>73</v>
      </c>
      <c r="G23" s="34" t="s">
        <v>75</v>
      </c>
      <c r="H23" s="34" t="s">
        <v>76</v>
      </c>
      <c r="I23" s="34" t="s">
        <v>77</v>
      </c>
      <c r="J23" s="34" t="s">
        <v>74</v>
      </c>
      <c r="K23" s="34" t="s">
        <v>78</v>
      </c>
      <c r="L23" s="34" t="s">
        <v>79</v>
      </c>
      <c r="M23" s="34" t="s">
        <v>273</v>
      </c>
      <c r="N23" s="65"/>
      <c r="O23" s="65"/>
      <c r="P23" s="34" t="str">
        <f>+Nóminab!C5</f>
        <v>590-Profesores Enseñanza Secundaria</v>
      </c>
      <c r="Q23" s="65"/>
      <c r="R23" s="65"/>
      <c r="S23" s="65"/>
      <c r="T23" s="65"/>
      <c r="U23" s="65"/>
      <c r="V23" s="65"/>
      <c r="W23" s="65"/>
      <c r="X23" s="65"/>
      <c r="Y23" s="65"/>
      <c r="Z23" s="65"/>
      <c r="AA23" s="65"/>
      <c r="AB23" s="65"/>
      <c r="AC23" s="65"/>
      <c r="AD23" s="65"/>
      <c r="AE23" s="65"/>
      <c r="AF23" s="65"/>
      <c r="AG23" s="65"/>
      <c r="AH23" s="65"/>
      <c r="AI23" s="65"/>
      <c r="AJ23" s="65"/>
      <c r="AK23" s="65"/>
      <c r="AL23" s="65"/>
      <c r="AM23" s="65"/>
      <c r="AN23" s="65"/>
      <c r="AO23" s="65"/>
      <c r="AP23" s="65"/>
      <c r="AQ23" s="65"/>
      <c r="AR23" s="65"/>
      <c r="AS23" s="65"/>
      <c r="AT23" s="65"/>
    </row>
    <row r="24" spans="1:50" x14ac:dyDescent="0.25">
      <c r="A24" s="65"/>
      <c r="B24" s="65"/>
      <c r="C24" s="120" t="s">
        <v>1</v>
      </c>
      <c r="D24" s="82" t="s">
        <v>53</v>
      </c>
      <c r="E24" s="82" t="s">
        <v>53</v>
      </c>
      <c r="F24" s="82" t="s">
        <v>53</v>
      </c>
      <c r="G24" s="82" t="s">
        <v>53</v>
      </c>
      <c r="H24" s="82" t="s">
        <v>53</v>
      </c>
      <c r="I24" s="82" t="s">
        <v>53</v>
      </c>
      <c r="J24" s="82" t="s">
        <v>80</v>
      </c>
      <c r="K24" s="82" t="s">
        <v>80</v>
      </c>
      <c r="L24" s="82" t="s">
        <v>80</v>
      </c>
      <c r="M24" s="82" t="s">
        <v>80</v>
      </c>
      <c r="N24" s="65"/>
      <c r="O24" s="65"/>
      <c r="P24" s="80" t="str">
        <f>IF(P$23=D$23,D24,IF(P$23=E$23,E24,IF(P$23=F$23,F24,IF(P$23=G$23,G24,IF(P$23=H$23,H24,IF(P$23=I$23,I24,IF(P$23=J$23,J24,IF(P$23=K$23,K24,IF(P$23=L$23,L24,IF(P$23=M$23,M24,IF(P$23=M$23,M24,666)))))))))))</f>
        <v>A1</v>
      </c>
      <c r="Q24" s="65"/>
      <c r="R24" s="65"/>
      <c r="S24" s="65"/>
      <c r="T24" s="65"/>
      <c r="U24" s="65"/>
      <c r="V24" s="65"/>
      <c r="W24" s="65"/>
      <c r="X24" s="65"/>
      <c r="Y24" s="65"/>
      <c r="Z24" s="65"/>
      <c r="AA24" s="65"/>
      <c r="AB24" s="65"/>
      <c r="AC24" s="65"/>
      <c r="AD24" s="65"/>
      <c r="AE24" s="65"/>
      <c r="AF24" s="65"/>
      <c r="AG24" s="65"/>
      <c r="AH24" s="65"/>
      <c r="AI24" s="65"/>
      <c r="AJ24" s="65"/>
      <c r="AK24" s="65"/>
      <c r="AL24" s="65"/>
      <c r="AM24" s="65"/>
      <c r="AN24" s="65"/>
      <c r="AO24" s="65"/>
      <c r="AP24" s="65"/>
      <c r="AQ24" s="65"/>
      <c r="AR24" s="65"/>
      <c r="AS24" s="65"/>
      <c r="AT24" s="65"/>
      <c r="AU24" s="130" t="s">
        <v>253</v>
      </c>
      <c r="AV24" s="96">
        <v>2021</v>
      </c>
      <c r="AX24"/>
    </row>
    <row r="25" spans="1:50" x14ac:dyDescent="0.25">
      <c r="A25" s="65"/>
      <c r="B25" s="65"/>
      <c r="C25" s="120" t="s">
        <v>0</v>
      </c>
      <c r="D25" s="82">
        <v>26</v>
      </c>
      <c r="E25" s="82">
        <v>26</v>
      </c>
      <c r="F25" s="82">
        <v>24</v>
      </c>
      <c r="G25" s="82">
        <v>24</v>
      </c>
      <c r="H25" s="82">
        <v>24</v>
      </c>
      <c r="I25" s="82">
        <v>24</v>
      </c>
      <c r="J25" s="82">
        <v>24</v>
      </c>
      <c r="K25" s="82">
        <v>24</v>
      </c>
      <c r="L25" s="82">
        <v>21</v>
      </c>
      <c r="M25" s="82">
        <v>21</v>
      </c>
      <c r="N25" s="65"/>
      <c r="O25" s="65"/>
      <c r="P25" s="80">
        <f>IF(P$23=D$23,D25,IF(P$23=E$23,E25,IF(P$23=F$23,F25,IF(P$23=G$23,G25,IF(P$23=H$23,H25,IF(P$23=I$23,I25,IF(P$23=J$23,J25,IF(P$23=K$23,K25,IF(P$23=L$23,L25,IF(P$23=M$23,M25,666))))))))))</f>
        <v>24</v>
      </c>
      <c r="Q25" s="65"/>
      <c r="R25" s="65"/>
      <c r="S25" s="65"/>
      <c r="V25" s="95"/>
      <c r="W25" s="65"/>
      <c r="X25" s="65"/>
      <c r="Y25" s="65"/>
      <c r="Z25" s="65"/>
      <c r="AA25" s="65"/>
      <c r="AB25" s="65"/>
      <c r="AC25" s="65"/>
      <c r="AD25" s="65"/>
      <c r="AE25" s="65"/>
      <c r="AF25" s="65"/>
      <c r="AG25" s="65"/>
      <c r="AH25" s="65"/>
      <c r="AI25" s="65"/>
      <c r="AJ25" s="65"/>
      <c r="AK25" s="65"/>
      <c r="AL25" s="65"/>
      <c r="AM25" s="65"/>
      <c r="AN25" s="65"/>
      <c r="AO25" s="65"/>
      <c r="AP25" s="65"/>
      <c r="AQ25" s="65"/>
      <c r="AR25" s="65"/>
      <c r="AS25" s="65"/>
      <c r="AT25" s="65"/>
      <c r="AU25" s="126" t="s">
        <v>204</v>
      </c>
      <c r="AV25" s="232">
        <v>557.31999999999994</v>
      </c>
    </row>
    <row r="26" spans="1:50" x14ac:dyDescent="0.25">
      <c r="A26" s="65"/>
      <c r="B26" s="65"/>
      <c r="C26" s="110" t="s">
        <v>2</v>
      </c>
      <c r="D26" s="220">
        <f>14572.68/12</f>
        <v>1214.3900000000001</v>
      </c>
      <c r="E26" s="84">
        <f t="shared" ref="E26:I29" si="23">+D26</f>
        <v>1214.3900000000001</v>
      </c>
      <c r="F26" s="84">
        <f t="shared" si="23"/>
        <v>1214.3900000000001</v>
      </c>
      <c r="G26" s="84">
        <f t="shared" si="23"/>
        <v>1214.3900000000001</v>
      </c>
      <c r="H26" s="84">
        <f t="shared" si="23"/>
        <v>1214.3900000000001</v>
      </c>
      <c r="I26" s="84">
        <f t="shared" si="23"/>
        <v>1214.3900000000001</v>
      </c>
      <c r="J26" s="220">
        <f>12600.72/12</f>
        <v>1050.06</v>
      </c>
      <c r="K26" s="84">
        <f>+J26</f>
        <v>1050.06</v>
      </c>
      <c r="L26" s="84">
        <f>+K26</f>
        <v>1050.06</v>
      </c>
      <c r="M26" s="84">
        <f>+L26</f>
        <v>1050.06</v>
      </c>
      <c r="N26" s="65"/>
      <c r="O26" s="65"/>
      <c r="P26" s="80">
        <f>IF(P$23=D$23,D26,IF(P$23=E$23,E26,IF(P$23=F$23,F26,IF(P$23=G$23,G26,IF(P$23=H$23,H26,IF(P$23=I$23,I26,IF(P$23=J$23,J26,IF(P$23=K$23,K26,IF(P$23=L$23,L26,IF(P$23=M$23,M26,666))))))))))</f>
        <v>1214.3900000000001</v>
      </c>
      <c r="Q26" s="65"/>
      <c r="R26" s="65"/>
      <c r="S26" s="65"/>
      <c r="T26" s="95"/>
      <c r="U26" s="65"/>
      <c r="V26" s="65"/>
      <c r="W26" s="65"/>
      <c r="X26" s="65"/>
      <c r="Y26" s="65"/>
      <c r="Z26" s="65"/>
      <c r="AA26" s="65"/>
      <c r="AB26" s="65"/>
      <c r="AC26" s="65"/>
      <c r="AD26" s="65"/>
      <c r="AE26" s="65"/>
      <c r="AF26" s="65"/>
      <c r="AG26" s="65"/>
      <c r="AH26" s="65"/>
      <c r="AI26" s="65"/>
      <c r="AJ26" s="65"/>
      <c r="AK26" s="65"/>
      <c r="AL26" s="65"/>
      <c r="AM26" s="65"/>
      <c r="AN26" s="65"/>
      <c r="AO26" s="65"/>
      <c r="AP26" s="65"/>
      <c r="AQ26" s="65"/>
      <c r="AR26" s="65"/>
      <c r="AS26" s="65"/>
      <c r="AT26" s="65"/>
      <c r="AU26" s="126" t="s">
        <v>205</v>
      </c>
      <c r="AV26" s="232">
        <v>508.49</v>
      </c>
    </row>
    <row r="27" spans="1:50" x14ac:dyDescent="0.25">
      <c r="A27" s="65"/>
      <c r="B27" s="65"/>
      <c r="C27" s="110" t="s">
        <v>129</v>
      </c>
      <c r="D27" s="220">
        <v>749.38</v>
      </c>
      <c r="E27" s="84">
        <f t="shared" si="23"/>
        <v>749.38</v>
      </c>
      <c r="F27" s="84">
        <f t="shared" si="23"/>
        <v>749.38</v>
      </c>
      <c r="G27" s="84">
        <f t="shared" si="23"/>
        <v>749.38</v>
      </c>
      <c r="H27" s="84">
        <f t="shared" si="23"/>
        <v>749.38</v>
      </c>
      <c r="I27" s="84">
        <f t="shared" si="23"/>
        <v>749.38</v>
      </c>
      <c r="J27" s="220">
        <v>765.83</v>
      </c>
      <c r="K27" s="84">
        <f>+J27</f>
        <v>765.83</v>
      </c>
      <c r="L27" s="84">
        <f t="shared" ref="L27:M30" si="24">+K27</f>
        <v>765.83</v>
      </c>
      <c r="M27" s="84">
        <f t="shared" si="24"/>
        <v>765.83</v>
      </c>
      <c r="N27" s="65"/>
      <c r="O27" s="65"/>
      <c r="P27" s="80">
        <f>IF(P$23=D$23,D27,IF(P$23=E$23,E27,IF(P$23=F$23,F27,IF(P$23=G$23,G27,IF(P$23=H$23,H27,IF(P$23=I$23,I27,IF(P$23=J$23,J27,IF(P$23=K$23,K27,IF(P$23=L$23,L27,IF(P$23=M$23,M27,666))))))))))</f>
        <v>749.38</v>
      </c>
      <c r="Q27" s="65"/>
      <c r="R27" s="65"/>
      <c r="S27" s="65"/>
      <c r="T27" s="65"/>
      <c r="U27" s="65"/>
      <c r="V27" s="65"/>
      <c r="W27" s="65"/>
      <c r="X27" s="65"/>
      <c r="Y27" s="65"/>
      <c r="Z27" s="65"/>
      <c r="AA27" s="65"/>
      <c r="AB27" s="65"/>
      <c r="AC27" s="65"/>
      <c r="AD27" s="65"/>
      <c r="AE27" s="65"/>
      <c r="AF27" s="65"/>
      <c r="AG27" s="65"/>
      <c r="AH27" s="65"/>
      <c r="AI27" s="65"/>
      <c r="AJ27" s="65"/>
      <c r="AK27" s="65"/>
      <c r="AL27" s="65"/>
      <c r="AM27" s="65"/>
      <c r="AN27" s="65"/>
      <c r="AO27" s="65"/>
      <c r="AP27" s="65"/>
      <c r="AQ27" s="65"/>
      <c r="AR27" s="65"/>
      <c r="AS27" s="65"/>
      <c r="AU27" s="126" t="s">
        <v>206</v>
      </c>
      <c r="AV27" s="232">
        <v>383.46999999999997</v>
      </c>
    </row>
    <row r="28" spans="1:50" x14ac:dyDescent="0.25">
      <c r="A28" s="65"/>
      <c r="B28" s="65"/>
      <c r="C28" s="111" t="s">
        <v>3</v>
      </c>
      <c r="D28" s="220">
        <f>560.88/12</f>
        <v>46.74</v>
      </c>
      <c r="E28" s="84">
        <f t="shared" si="23"/>
        <v>46.74</v>
      </c>
      <c r="F28" s="84">
        <f t="shared" si="23"/>
        <v>46.74</v>
      </c>
      <c r="G28" s="84">
        <f t="shared" si="23"/>
        <v>46.74</v>
      </c>
      <c r="H28" s="84">
        <f t="shared" si="23"/>
        <v>46.74</v>
      </c>
      <c r="I28" s="84">
        <f t="shared" si="23"/>
        <v>46.74</v>
      </c>
      <c r="J28" s="220">
        <f>457.44/12</f>
        <v>38.119999999999997</v>
      </c>
      <c r="K28" s="84">
        <f>+J28</f>
        <v>38.119999999999997</v>
      </c>
      <c r="L28" s="84">
        <f t="shared" si="24"/>
        <v>38.119999999999997</v>
      </c>
      <c r="M28" s="84">
        <f t="shared" si="24"/>
        <v>38.119999999999997</v>
      </c>
      <c r="N28" s="65"/>
      <c r="O28" s="65"/>
      <c r="P28" s="80">
        <f>IF(P$23=D$23,D28,IF(P$23=E$23,E28,IF(P$23=F$23,F28,IF(P$23=G$23,G28,IF(P$23=H$23,H28,IF(P$23=I$23,I28,IF(P$23=J$23,J28,IF(P$23=K$23,K28,IF(P$23=L$23,L28,IF(P$23=M$23,M28,666))))))))))</f>
        <v>46.74</v>
      </c>
      <c r="Q28" s="65"/>
      <c r="R28" s="65"/>
      <c r="S28" s="65"/>
      <c r="T28" s="65"/>
      <c r="U28" s="65"/>
      <c r="V28" s="65"/>
      <c r="W28" s="65"/>
      <c r="X28" s="65"/>
      <c r="Y28" s="65"/>
      <c r="Z28" s="65"/>
      <c r="AA28" s="65"/>
      <c r="AB28" s="65"/>
      <c r="AC28" s="65"/>
      <c r="AD28" s="65"/>
      <c r="AE28" s="65"/>
      <c r="AF28" s="65"/>
      <c r="AG28" s="65"/>
      <c r="AH28" s="65"/>
      <c r="AI28" s="65"/>
      <c r="AJ28" s="65"/>
      <c r="AK28" s="65"/>
      <c r="AL28" s="65"/>
      <c r="AM28" s="65"/>
      <c r="AN28" s="65"/>
      <c r="AO28" s="65"/>
      <c r="AP28" s="65"/>
      <c r="AQ28" s="65"/>
      <c r="AR28" s="65"/>
      <c r="AS28" s="65"/>
      <c r="AU28" s="127" t="s">
        <v>207</v>
      </c>
      <c r="AV28" s="232">
        <v>291.77999999999997</v>
      </c>
    </row>
    <row r="29" spans="1:50" x14ac:dyDescent="0.25">
      <c r="A29" s="65"/>
      <c r="B29" s="65"/>
      <c r="C29" s="111" t="s">
        <v>142</v>
      </c>
      <c r="D29" s="220">
        <v>28.85</v>
      </c>
      <c r="E29" s="84">
        <f t="shared" si="23"/>
        <v>28.85</v>
      </c>
      <c r="F29" s="84">
        <f t="shared" si="23"/>
        <v>28.85</v>
      </c>
      <c r="G29" s="84">
        <f t="shared" si="23"/>
        <v>28.85</v>
      </c>
      <c r="H29" s="84">
        <f t="shared" si="23"/>
        <v>28.85</v>
      </c>
      <c r="I29" s="84">
        <f t="shared" si="23"/>
        <v>28.85</v>
      </c>
      <c r="J29" s="220">
        <v>27.79</v>
      </c>
      <c r="K29" s="84">
        <f>+J29</f>
        <v>27.79</v>
      </c>
      <c r="L29" s="84">
        <f t="shared" si="24"/>
        <v>27.79</v>
      </c>
      <c r="M29" s="84">
        <f t="shared" si="24"/>
        <v>27.79</v>
      </c>
      <c r="N29" s="65"/>
      <c r="O29" s="65"/>
      <c r="P29" s="80">
        <f>IF(P$23=D$23,D29,IF(P$23=E$23,E29,IF(P$23=F$23,F29,IF(P$23=G$23,G29,IF(P$23=H$23,H29,IF(P$23=I$23,I29,IF(P$23=J$23,J29,IF(P$23=K$23,K29,IF(P$23=L$23,L29,IF(P$23=M$23,M29,666))))))))))</f>
        <v>28.85</v>
      </c>
      <c r="Q29" s="65"/>
      <c r="R29" s="65"/>
      <c r="S29" s="65"/>
      <c r="T29" s="65"/>
      <c r="U29" s="65"/>
      <c r="V29" s="65"/>
      <c r="W29" s="65"/>
      <c r="X29" s="65"/>
      <c r="Y29" s="65"/>
      <c r="Z29" s="65"/>
      <c r="AA29" s="65"/>
      <c r="AB29" s="65"/>
      <c r="AC29" s="65"/>
      <c r="AD29" s="65"/>
      <c r="AE29" s="65"/>
      <c r="AF29" s="65"/>
      <c r="AG29" s="65"/>
      <c r="AH29" s="65"/>
      <c r="AI29" s="65"/>
      <c r="AJ29" s="65"/>
      <c r="AK29" s="65"/>
      <c r="AL29" s="65"/>
      <c r="AM29" s="65"/>
      <c r="AN29" s="65"/>
      <c r="AO29" s="65"/>
      <c r="AP29" s="65"/>
      <c r="AQ29" s="65"/>
      <c r="AR29" s="65"/>
      <c r="AS29" s="65"/>
      <c r="AU29" s="127" t="s">
        <v>208</v>
      </c>
      <c r="AV29" s="232">
        <v>197.73</v>
      </c>
    </row>
    <row r="30" spans="1:50" x14ac:dyDescent="0.25">
      <c r="B30" s="65"/>
      <c r="C30" s="112" t="s">
        <v>143</v>
      </c>
      <c r="D30" s="221">
        <f>ROUNDUP(768.16*1.009,2)</f>
        <v>775.08</v>
      </c>
      <c r="E30" s="84">
        <f>+D30</f>
        <v>775.08</v>
      </c>
      <c r="F30" s="221">
        <f>ROUNDUP(641.34*1.009,2)</f>
        <v>647.12</v>
      </c>
      <c r="G30" s="84">
        <f>+F30</f>
        <v>647.12</v>
      </c>
      <c r="H30" s="84">
        <f>+G30</f>
        <v>647.12</v>
      </c>
      <c r="I30" s="84">
        <f>+H30</f>
        <v>647.12</v>
      </c>
      <c r="J30" s="84">
        <f>+I30</f>
        <v>647.12</v>
      </c>
      <c r="K30" s="84">
        <f>+J30</f>
        <v>647.12</v>
      </c>
      <c r="L30" s="221">
        <f>ROUNDUP(520.79*1.009,2)</f>
        <v>525.48</v>
      </c>
      <c r="M30" s="84">
        <f t="shared" si="24"/>
        <v>525.48</v>
      </c>
      <c r="N30" s="65"/>
      <c r="O30" s="65"/>
      <c r="P30" s="80">
        <f t="shared" ref="P30:P48" si="25">IF(P$23=D$23,D30,IF(P$23=E$23,E30,IF(P$23=F$23,F30,IF(P$23=G$23,G30,IF(P$23=H$23,H30,IF(P$23=I$23,I30,IF(P$23=J$23,J30,IF(P$23=K$23,K30,IF(P$23=L$23,L30,IF(P$23=M$23,M30,666))))))))))</f>
        <v>647.12</v>
      </c>
      <c r="Q30" s="65"/>
      <c r="R30" s="65"/>
      <c r="S30" s="65"/>
      <c r="T30" s="65"/>
      <c r="U30" s="65"/>
      <c r="V30" s="65"/>
      <c r="W30" s="65"/>
      <c r="X30" s="65"/>
      <c r="Y30" s="65"/>
      <c r="Z30" s="65"/>
      <c r="AA30" s="65"/>
      <c r="AB30" s="65"/>
      <c r="AC30" s="65"/>
      <c r="AD30" s="65"/>
      <c r="AE30" s="65"/>
      <c r="AF30" s="65"/>
      <c r="AG30" s="65"/>
      <c r="AH30" s="65"/>
      <c r="AI30" s="65"/>
      <c r="AJ30" s="65"/>
      <c r="AK30" s="65"/>
      <c r="AL30" s="65"/>
      <c r="AM30" s="65"/>
      <c r="AN30" s="65"/>
      <c r="AO30" s="65"/>
      <c r="AP30" s="65"/>
      <c r="AQ30" s="65"/>
      <c r="AR30" s="65"/>
      <c r="AS30" s="65"/>
      <c r="AU30" s="127" t="s">
        <v>209</v>
      </c>
      <c r="AV30" s="232">
        <v>123.9</v>
      </c>
    </row>
    <row r="31" spans="1:50" x14ac:dyDescent="0.25">
      <c r="C31" s="112" t="s">
        <v>144</v>
      </c>
      <c r="D31" s="84">
        <f t="shared" ref="D31:M31" si="26">+D30</f>
        <v>775.08</v>
      </c>
      <c r="E31" s="84">
        <f t="shared" si="26"/>
        <v>775.08</v>
      </c>
      <c r="F31" s="84">
        <f t="shared" si="26"/>
        <v>647.12</v>
      </c>
      <c r="G31" s="84">
        <f t="shared" si="26"/>
        <v>647.12</v>
      </c>
      <c r="H31" s="84">
        <f t="shared" si="26"/>
        <v>647.12</v>
      </c>
      <c r="I31" s="84">
        <f t="shared" si="26"/>
        <v>647.12</v>
      </c>
      <c r="J31" s="84">
        <f t="shared" si="26"/>
        <v>647.12</v>
      </c>
      <c r="K31" s="84">
        <f t="shared" si="26"/>
        <v>647.12</v>
      </c>
      <c r="L31" s="84">
        <f t="shared" si="26"/>
        <v>525.48</v>
      </c>
      <c r="M31" s="84">
        <f t="shared" si="26"/>
        <v>525.48</v>
      </c>
      <c r="N31" s="65"/>
      <c r="O31" s="65"/>
      <c r="P31" s="80">
        <f t="shared" si="25"/>
        <v>647.12</v>
      </c>
      <c r="Q31" s="65"/>
      <c r="R31" s="65"/>
      <c r="S31" s="65"/>
      <c r="T31" s="65"/>
      <c r="U31" s="65"/>
      <c r="V31" s="65"/>
      <c r="W31" s="65"/>
      <c r="X31" s="65"/>
      <c r="Y31" s="65"/>
      <c r="Z31" s="65"/>
      <c r="AA31" s="65"/>
      <c r="AB31" s="65"/>
      <c r="AC31" s="65"/>
      <c r="AD31" s="65"/>
      <c r="AE31" s="65"/>
      <c r="AF31" s="65"/>
      <c r="AG31" s="65"/>
      <c r="AH31" s="65"/>
      <c r="AI31" s="65"/>
      <c r="AJ31" s="65"/>
      <c r="AK31" s="65"/>
      <c r="AL31" s="65"/>
      <c r="AM31" s="65"/>
      <c r="AN31" s="65"/>
      <c r="AO31" s="65"/>
      <c r="AP31" s="65"/>
      <c r="AQ31" s="65"/>
      <c r="AR31" s="65"/>
      <c r="AS31" s="65"/>
      <c r="AU31" s="126" t="s">
        <v>83</v>
      </c>
      <c r="AV31" s="232">
        <v>228.67999999999998</v>
      </c>
    </row>
    <row r="32" spans="1:50" x14ac:dyDescent="0.25">
      <c r="C32" s="113" t="s">
        <v>145</v>
      </c>
      <c r="D32" s="221">
        <f>ROUNDUP(1501.52*1.009,2)</f>
        <v>1515.04</v>
      </c>
      <c r="E32" s="221">
        <f>ROUNDUP(719.3*1.009,2)</f>
        <v>725.78</v>
      </c>
      <c r="F32" s="221">
        <f>ROUNDUP(666.89*1.009,2)</f>
        <v>672.9</v>
      </c>
      <c r="G32" s="84">
        <f>+F32</f>
        <v>672.9</v>
      </c>
      <c r="H32" s="84">
        <f>+G32</f>
        <v>672.9</v>
      </c>
      <c r="I32" s="84">
        <f>+H32</f>
        <v>672.9</v>
      </c>
      <c r="J32" s="221">
        <f>ROUNDUP(668.91*1.009,2)</f>
        <v>674.93999999999994</v>
      </c>
      <c r="K32" s="84">
        <f>+J32</f>
        <v>674.93999999999994</v>
      </c>
      <c r="L32" s="221">
        <f>ROUNDUP(710.05*1.009,2)</f>
        <v>716.45</v>
      </c>
      <c r="M32" s="221">
        <f>ROUNDUP(789.46*1.009,2)</f>
        <v>796.56999999999994</v>
      </c>
      <c r="N32" s="65"/>
      <c r="O32" s="65"/>
      <c r="P32" s="80">
        <f t="shared" si="25"/>
        <v>672.9</v>
      </c>
      <c r="Q32" s="65"/>
      <c r="R32" s="65"/>
      <c r="S32" s="65"/>
      <c r="T32" s="65"/>
      <c r="U32" s="65"/>
      <c r="V32" s="65"/>
      <c r="W32" s="65"/>
      <c r="X32" s="65"/>
      <c r="Y32" s="65"/>
      <c r="Z32" s="65"/>
      <c r="AA32" s="65"/>
      <c r="AB32" s="65"/>
      <c r="AC32" s="65"/>
      <c r="AD32" s="65"/>
      <c r="AE32" s="65"/>
      <c r="AF32" s="65"/>
      <c r="AG32" s="65"/>
      <c r="AH32" s="65"/>
      <c r="AI32" s="65"/>
      <c r="AJ32" s="65"/>
      <c r="AK32" s="65"/>
      <c r="AL32" s="65"/>
      <c r="AM32" s="65"/>
      <c r="AN32" s="65"/>
      <c r="AO32" s="65"/>
      <c r="AP32" s="65"/>
      <c r="AQ32" s="65"/>
      <c r="AR32" s="65"/>
      <c r="AS32" s="65"/>
      <c r="AU32" s="126" t="s">
        <v>84</v>
      </c>
      <c r="AV32" s="232">
        <v>219.17</v>
      </c>
    </row>
    <row r="33" spans="3:48" x14ac:dyDescent="0.25">
      <c r="C33" s="114" t="s">
        <v>146</v>
      </c>
      <c r="D33" s="85">
        <f>ROUNDUP(+D32*78%,2)</f>
        <v>1181.74</v>
      </c>
      <c r="E33" s="85">
        <f t="shared" ref="E33:F33" si="27">ROUNDUP(+E32*78%,2)</f>
        <v>566.11</v>
      </c>
      <c r="F33" s="85">
        <f t="shared" si="27"/>
        <v>524.87</v>
      </c>
      <c r="G33" s="85">
        <f>ROUNDUP(+G32*78%,2)</f>
        <v>524.87</v>
      </c>
      <c r="H33" s="85">
        <f t="shared" ref="H33" si="28">ROUNDUP(+H32*78%,2)</f>
        <v>524.87</v>
      </c>
      <c r="I33" s="85">
        <f>ROUNDUP(+I32*78%,2)</f>
        <v>524.87</v>
      </c>
      <c r="J33" s="85">
        <f t="shared" ref="J33" si="29">ROUNDUP(+J32*78%,2)</f>
        <v>526.46</v>
      </c>
      <c r="K33" s="85">
        <f>ROUNDUP(+K32*78%,2)</f>
        <v>526.46</v>
      </c>
      <c r="L33" s="85">
        <f t="shared" ref="L33" si="30">ROUNDUP(+L32*78%,2)</f>
        <v>558.84</v>
      </c>
      <c r="M33" s="85">
        <f>ROUNDUP(+M32*78%,2)</f>
        <v>621.33000000000004</v>
      </c>
      <c r="N33" s="65"/>
      <c r="O33" s="65"/>
      <c r="P33" s="80">
        <f t="shared" si="25"/>
        <v>524.87</v>
      </c>
      <c r="Q33" s="65"/>
      <c r="R33" s="65"/>
      <c r="S33" s="65"/>
      <c r="T33" s="65"/>
      <c r="U33" s="65"/>
      <c r="V33" s="65"/>
      <c r="W33" s="65"/>
      <c r="X33" s="65"/>
      <c r="Y33" s="65"/>
      <c r="Z33" s="65"/>
      <c r="AA33" s="65"/>
      <c r="AB33" s="65"/>
      <c r="AC33" s="65"/>
      <c r="AD33" s="65"/>
      <c r="AE33" s="65"/>
      <c r="AF33" s="65"/>
      <c r="AG33" s="65"/>
      <c r="AH33" s="65"/>
      <c r="AI33" s="65"/>
      <c r="AJ33" s="65"/>
      <c r="AK33" s="65"/>
      <c r="AL33" s="65"/>
      <c r="AM33" s="65"/>
      <c r="AN33" s="65"/>
      <c r="AO33" s="65"/>
      <c r="AP33" s="65"/>
      <c r="AQ33" s="65"/>
      <c r="AR33" s="65"/>
      <c r="AS33" s="65"/>
      <c r="AU33" s="127" t="s">
        <v>85</v>
      </c>
      <c r="AV33" s="232">
        <v>204.85</v>
      </c>
    </row>
    <row r="34" spans="3:48" x14ac:dyDescent="0.25">
      <c r="C34" s="115" t="s">
        <v>137</v>
      </c>
      <c r="D34" s="222">
        <v>55</v>
      </c>
      <c r="E34" s="93">
        <f t="shared" ref="E34:M48" si="31">+D34</f>
        <v>55</v>
      </c>
      <c r="F34" s="93">
        <f t="shared" si="31"/>
        <v>55</v>
      </c>
      <c r="G34" s="93">
        <f t="shared" si="31"/>
        <v>55</v>
      </c>
      <c r="H34" s="93">
        <f t="shared" si="31"/>
        <v>55</v>
      </c>
      <c r="I34" s="93">
        <f t="shared" si="31"/>
        <v>55</v>
      </c>
      <c r="J34" s="93">
        <f t="shared" si="31"/>
        <v>55</v>
      </c>
      <c r="K34" s="93">
        <f t="shared" si="31"/>
        <v>55</v>
      </c>
      <c r="L34" s="84">
        <f t="shared" si="31"/>
        <v>55</v>
      </c>
      <c r="M34" s="84">
        <f t="shared" si="31"/>
        <v>55</v>
      </c>
      <c r="N34" s="65"/>
      <c r="O34" s="65"/>
      <c r="P34" s="80">
        <f t="shared" si="25"/>
        <v>55</v>
      </c>
      <c r="Q34" s="65"/>
      <c r="R34" s="65"/>
      <c r="S34" s="65"/>
      <c r="T34" s="65"/>
      <c r="U34" s="65"/>
      <c r="V34" s="65"/>
      <c r="W34" s="65"/>
      <c r="X34" s="65"/>
      <c r="Y34" s="65"/>
      <c r="Z34" s="65"/>
      <c r="AA34" s="65"/>
      <c r="AB34" s="65"/>
      <c r="AC34" s="65"/>
      <c r="AD34" s="65"/>
      <c r="AE34" s="65"/>
      <c r="AF34" s="65"/>
      <c r="AG34" s="65"/>
      <c r="AH34" s="65"/>
      <c r="AI34" s="65"/>
      <c r="AJ34" s="65"/>
      <c r="AK34" s="65"/>
      <c r="AL34" s="65"/>
      <c r="AM34" s="65"/>
      <c r="AN34" s="65"/>
      <c r="AO34" s="65"/>
      <c r="AP34" s="65"/>
      <c r="AQ34" s="65"/>
      <c r="AR34" s="65"/>
      <c r="AS34" s="65"/>
      <c r="AU34" s="126" t="s">
        <v>86</v>
      </c>
      <c r="AV34" s="232">
        <v>159.60999999999999</v>
      </c>
    </row>
    <row r="35" spans="3:48" x14ac:dyDescent="0.25">
      <c r="C35" s="115" t="s">
        <v>147</v>
      </c>
      <c r="D35" s="222">
        <f>ROUNDUP(+D34*78%,2)</f>
        <v>42.9</v>
      </c>
      <c r="E35" s="93">
        <f t="shared" si="31"/>
        <v>42.9</v>
      </c>
      <c r="F35" s="93">
        <f t="shared" si="31"/>
        <v>42.9</v>
      </c>
      <c r="G35" s="93">
        <f t="shared" si="31"/>
        <v>42.9</v>
      </c>
      <c r="H35" s="93">
        <f t="shared" si="31"/>
        <v>42.9</v>
      </c>
      <c r="I35" s="93">
        <f t="shared" si="31"/>
        <v>42.9</v>
      </c>
      <c r="J35" s="93">
        <f t="shared" si="31"/>
        <v>42.9</v>
      </c>
      <c r="K35" s="93">
        <f t="shared" si="31"/>
        <v>42.9</v>
      </c>
      <c r="L35" s="84">
        <f t="shared" si="31"/>
        <v>42.9</v>
      </c>
      <c r="M35" s="84">
        <f t="shared" si="31"/>
        <v>42.9</v>
      </c>
      <c r="N35" s="65"/>
      <c r="O35" s="65"/>
      <c r="P35" s="80">
        <f t="shared" si="25"/>
        <v>42.9</v>
      </c>
      <c r="Q35" s="65"/>
      <c r="R35" s="65"/>
      <c r="S35" s="65"/>
      <c r="T35" s="65"/>
      <c r="U35" s="65"/>
      <c r="V35" s="65"/>
      <c r="W35" s="65"/>
      <c r="X35" s="65"/>
      <c r="Y35" s="65"/>
      <c r="Z35" s="65"/>
      <c r="AA35" s="65"/>
      <c r="AB35" s="65"/>
      <c r="AC35" s="65"/>
      <c r="AD35" s="65"/>
      <c r="AE35" s="65"/>
      <c r="AF35" s="65"/>
      <c r="AG35" s="65"/>
      <c r="AH35" s="65"/>
      <c r="AI35" s="65"/>
      <c r="AJ35" s="65"/>
      <c r="AK35" s="65"/>
      <c r="AL35" s="65"/>
      <c r="AM35" s="65"/>
      <c r="AN35" s="65"/>
      <c r="AO35" s="65"/>
      <c r="AP35" s="65"/>
      <c r="AQ35" s="65"/>
      <c r="AR35" s="65"/>
      <c r="AS35" s="65"/>
      <c r="AU35" s="127" t="s">
        <v>87</v>
      </c>
      <c r="AV35" s="232">
        <v>228.67999999999998</v>
      </c>
    </row>
    <row r="36" spans="3:48" x14ac:dyDescent="0.25">
      <c r="C36" s="115" t="s">
        <v>138</v>
      </c>
      <c r="D36" s="222">
        <v>119</v>
      </c>
      <c r="E36" s="93">
        <f t="shared" si="31"/>
        <v>119</v>
      </c>
      <c r="F36" s="93">
        <f t="shared" si="31"/>
        <v>119</v>
      </c>
      <c r="G36" s="93">
        <f t="shared" si="31"/>
        <v>119</v>
      </c>
      <c r="H36" s="93">
        <f t="shared" si="31"/>
        <v>119</v>
      </c>
      <c r="I36" s="93">
        <f t="shared" si="31"/>
        <v>119</v>
      </c>
      <c r="J36" s="93">
        <f t="shared" si="31"/>
        <v>119</v>
      </c>
      <c r="K36" s="93">
        <f t="shared" si="31"/>
        <v>119</v>
      </c>
      <c r="L36" s="84">
        <f t="shared" si="31"/>
        <v>119</v>
      </c>
      <c r="M36" s="84">
        <f t="shared" si="31"/>
        <v>119</v>
      </c>
      <c r="N36" s="65"/>
      <c r="O36" s="65"/>
      <c r="P36" s="80">
        <f t="shared" si="25"/>
        <v>119</v>
      </c>
      <c r="Q36" s="65"/>
      <c r="R36" s="65"/>
      <c r="S36" s="65"/>
      <c r="T36" s="65"/>
      <c r="U36" s="65"/>
      <c r="V36" s="65"/>
      <c r="W36" s="65"/>
      <c r="X36" s="65"/>
      <c r="Y36" s="65"/>
      <c r="Z36" s="65"/>
      <c r="AA36" s="65"/>
      <c r="AB36" s="65"/>
      <c r="AC36" s="65"/>
      <c r="AD36" s="65"/>
      <c r="AE36" s="65"/>
      <c r="AF36" s="65"/>
      <c r="AG36" s="65"/>
      <c r="AH36" s="65"/>
      <c r="AI36" s="65"/>
      <c r="AJ36" s="65"/>
      <c r="AK36" s="65"/>
      <c r="AL36" s="65"/>
      <c r="AM36" s="65"/>
      <c r="AN36" s="65"/>
      <c r="AO36" s="65"/>
      <c r="AP36" s="65"/>
      <c r="AQ36" s="65"/>
      <c r="AR36" s="65"/>
      <c r="AS36" s="65"/>
      <c r="AU36" s="126" t="s">
        <v>88</v>
      </c>
      <c r="AV36" s="232">
        <v>219.17</v>
      </c>
    </row>
    <row r="37" spans="3:48" x14ac:dyDescent="0.25">
      <c r="C37" s="115" t="s">
        <v>148</v>
      </c>
      <c r="D37" s="222">
        <f>+D36*78%</f>
        <v>92.820000000000007</v>
      </c>
      <c r="E37" s="93">
        <f t="shared" si="31"/>
        <v>92.820000000000007</v>
      </c>
      <c r="F37" s="93">
        <f t="shared" si="31"/>
        <v>92.820000000000007</v>
      </c>
      <c r="G37" s="93">
        <f t="shared" si="31"/>
        <v>92.820000000000007</v>
      </c>
      <c r="H37" s="93">
        <f t="shared" si="31"/>
        <v>92.820000000000007</v>
      </c>
      <c r="I37" s="93">
        <f t="shared" si="31"/>
        <v>92.820000000000007</v>
      </c>
      <c r="J37" s="93">
        <f t="shared" si="31"/>
        <v>92.820000000000007</v>
      </c>
      <c r="K37" s="93">
        <f t="shared" si="31"/>
        <v>92.820000000000007</v>
      </c>
      <c r="L37" s="84">
        <f t="shared" si="31"/>
        <v>92.820000000000007</v>
      </c>
      <c r="M37" s="84">
        <f t="shared" si="31"/>
        <v>92.820000000000007</v>
      </c>
      <c r="N37" s="65"/>
      <c r="O37" s="65"/>
      <c r="P37" s="80">
        <f t="shared" si="25"/>
        <v>92.820000000000007</v>
      </c>
      <c r="Q37" s="65"/>
      <c r="R37" s="65"/>
      <c r="S37" s="65"/>
      <c r="T37" s="65"/>
      <c r="U37" s="65"/>
      <c r="V37" s="65"/>
      <c r="W37" s="65"/>
      <c r="X37" s="65"/>
      <c r="Y37" s="65"/>
      <c r="Z37" s="65"/>
      <c r="AA37" s="65"/>
      <c r="AB37" s="65"/>
      <c r="AC37" s="65"/>
      <c r="AD37" s="65"/>
      <c r="AE37" s="65"/>
      <c r="AF37" s="65"/>
      <c r="AG37" s="65"/>
      <c r="AH37" s="65"/>
      <c r="AI37" s="65"/>
      <c r="AJ37" s="65"/>
      <c r="AK37" s="65"/>
      <c r="AL37" s="65"/>
      <c r="AM37" s="65"/>
      <c r="AN37" s="65"/>
      <c r="AO37" s="65"/>
      <c r="AP37" s="65"/>
      <c r="AQ37" s="65"/>
      <c r="AR37" s="65"/>
      <c r="AS37" s="65"/>
      <c r="AU37" s="126" t="s">
        <v>89</v>
      </c>
      <c r="AV37" s="232">
        <v>204.85</v>
      </c>
    </row>
    <row r="38" spans="3:48" x14ac:dyDescent="0.25">
      <c r="C38" s="115" t="s">
        <v>139</v>
      </c>
      <c r="D38" s="222">
        <v>239</v>
      </c>
      <c r="E38" s="93">
        <f t="shared" si="31"/>
        <v>239</v>
      </c>
      <c r="F38" s="93">
        <f t="shared" si="31"/>
        <v>239</v>
      </c>
      <c r="G38" s="93">
        <f t="shared" si="31"/>
        <v>239</v>
      </c>
      <c r="H38" s="93">
        <f t="shared" si="31"/>
        <v>239</v>
      </c>
      <c r="I38" s="93">
        <f t="shared" si="31"/>
        <v>239</v>
      </c>
      <c r="J38" s="93">
        <f t="shared" si="31"/>
        <v>239</v>
      </c>
      <c r="K38" s="93">
        <f t="shared" si="31"/>
        <v>239</v>
      </c>
      <c r="L38" s="84">
        <f t="shared" si="31"/>
        <v>239</v>
      </c>
      <c r="M38" s="84">
        <f t="shared" si="31"/>
        <v>239</v>
      </c>
      <c r="N38" s="65"/>
      <c r="O38" s="65"/>
      <c r="P38" s="80">
        <f t="shared" si="25"/>
        <v>239</v>
      </c>
      <c r="Q38" s="65"/>
      <c r="R38" s="65"/>
      <c r="S38" s="65"/>
      <c r="T38" s="65"/>
      <c r="U38" s="65"/>
      <c r="V38" s="65"/>
      <c r="W38" s="65"/>
      <c r="X38" s="65"/>
      <c r="Y38" s="65"/>
      <c r="Z38" s="65"/>
      <c r="AA38" s="65"/>
      <c r="AB38" s="65"/>
      <c r="AC38" s="65"/>
      <c r="AD38" s="65"/>
      <c r="AE38" s="65"/>
      <c r="AF38" s="65"/>
      <c r="AG38" s="65"/>
      <c r="AH38" s="65"/>
      <c r="AI38" s="65"/>
      <c r="AJ38" s="65"/>
      <c r="AK38" s="65"/>
      <c r="AL38" s="65"/>
      <c r="AM38" s="65"/>
      <c r="AN38" s="65"/>
      <c r="AO38" s="65"/>
      <c r="AP38" s="65"/>
      <c r="AQ38" s="65"/>
      <c r="AR38" s="65"/>
      <c r="AS38" s="65"/>
      <c r="AU38" s="126" t="s">
        <v>90</v>
      </c>
      <c r="AV38" s="232">
        <v>159.60999999999999</v>
      </c>
    </row>
    <row r="39" spans="3:48" x14ac:dyDescent="0.25">
      <c r="C39" s="115" t="s">
        <v>149</v>
      </c>
      <c r="D39" s="222">
        <f>+D38*78%</f>
        <v>186.42000000000002</v>
      </c>
      <c r="E39" s="93">
        <f t="shared" si="31"/>
        <v>186.42000000000002</v>
      </c>
      <c r="F39" s="93">
        <f t="shared" si="31"/>
        <v>186.42000000000002</v>
      </c>
      <c r="G39" s="93">
        <f t="shared" si="31"/>
        <v>186.42000000000002</v>
      </c>
      <c r="H39" s="93">
        <f t="shared" si="31"/>
        <v>186.42000000000002</v>
      </c>
      <c r="I39" s="93">
        <f t="shared" si="31"/>
        <v>186.42000000000002</v>
      </c>
      <c r="J39" s="93">
        <f t="shared" si="31"/>
        <v>186.42000000000002</v>
      </c>
      <c r="K39" s="93">
        <f t="shared" si="31"/>
        <v>186.42000000000002</v>
      </c>
      <c r="L39" s="84">
        <f t="shared" si="31"/>
        <v>186.42000000000002</v>
      </c>
      <c r="M39" s="84">
        <f t="shared" si="31"/>
        <v>186.42000000000002</v>
      </c>
      <c r="N39" s="65"/>
      <c r="O39" s="65"/>
      <c r="P39" s="80">
        <f t="shared" si="25"/>
        <v>186.42000000000002</v>
      </c>
      <c r="Q39" s="65"/>
      <c r="R39" s="65"/>
      <c r="S39" s="65"/>
      <c r="T39" s="65"/>
      <c r="U39" s="65"/>
      <c r="V39" s="65"/>
      <c r="W39" s="65"/>
      <c r="X39" s="65"/>
      <c r="Y39" s="65"/>
      <c r="Z39" s="65"/>
      <c r="AA39" s="65"/>
      <c r="AB39" s="65"/>
      <c r="AC39" s="65"/>
      <c r="AD39" s="65"/>
      <c r="AE39" s="65"/>
      <c r="AF39" s="65"/>
      <c r="AG39" s="65"/>
      <c r="AH39" s="65"/>
      <c r="AI39" s="65"/>
      <c r="AJ39" s="65"/>
      <c r="AK39" s="65"/>
      <c r="AL39" s="65"/>
      <c r="AM39" s="65"/>
      <c r="AN39" s="65"/>
      <c r="AO39" s="65"/>
      <c r="AP39" s="65"/>
      <c r="AQ39" s="65"/>
      <c r="AR39" s="65"/>
      <c r="AS39" s="65"/>
      <c r="AU39" s="126" t="s">
        <v>91</v>
      </c>
      <c r="AV39" s="232">
        <v>107.21000000000001</v>
      </c>
    </row>
    <row r="40" spans="3:48" x14ac:dyDescent="0.25">
      <c r="C40" s="115" t="s">
        <v>140</v>
      </c>
      <c r="D40" s="222">
        <v>383</v>
      </c>
      <c r="E40" s="93">
        <f t="shared" si="31"/>
        <v>383</v>
      </c>
      <c r="F40" s="93">
        <f t="shared" si="31"/>
        <v>383</v>
      </c>
      <c r="G40" s="93">
        <f t="shared" si="31"/>
        <v>383</v>
      </c>
      <c r="H40" s="93">
        <f t="shared" si="31"/>
        <v>383</v>
      </c>
      <c r="I40" s="93">
        <f t="shared" si="31"/>
        <v>383</v>
      </c>
      <c r="J40" s="93">
        <f t="shared" si="31"/>
        <v>383</v>
      </c>
      <c r="K40" s="93">
        <f t="shared" si="31"/>
        <v>383</v>
      </c>
      <c r="L40" s="84">
        <f t="shared" si="31"/>
        <v>383</v>
      </c>
      <c r="M40" s="84">
        <f t="shared" si="31"/>
        <v>383</v>
      </c>
      <c r="N40" s="65"/>
      <c r="O40" s="65"/>
      <c r="P40" s="80">
        <f t="shared" si="25"/>
        <v>383</v>
      </c>
      <c r="Q40" s="65"/>
      <c r="R40" s="65"/>
      <c r="S40" s="65"/>
      <c r="T40" s="65"/>
      <c r="U40" s="65"/>
      <c r="V40" s="65"/>
      <c r="W40" s="65"/>
      <c r="X40" s="65"/>
      <c r="Y40" s="65"/>
      <c r="Z40" s="65"/>
      <c r="AA40" s="65"/>
      <c r="AB40" s="65"/>
      <c r="AC40" s="65"/>
      <c r="AD40" s="65"/>
      <c r="AE40" s="65"/>
      <c r="AF40" s="65"/>
      <c r="AG40" s="65"/>
      <c r="AH40" s="65"/>
      <c r="AI40" s="65"/>
      <c r="AJ40" s="65"/>
      <c r="AK40" s="65"/>
      <c r="AL40" s="65"/>
      <c r="AM40" s="65"/>
      <c r="AN40" s="65"/>
      <c r="AO40" s="65"/>
      <c r="AP40" s="65"/>
      <c r="AQ40" s="65"/>
      <c r="AR40" s="65"/>
      <c r="AS40" s="65"/>
      <c r="AU40" s="126" t="s">
        <v>40</v>
      </c>
      <c r="AV40" s="232">
        <v>228.67999999999998</v>
      </c>
    </row>
    <row r="41" spans="3:48" x14ac:dyDescent="0.25">
      <c r="C41" s="115" t="s">
        <v>150</v>
      </c>
      <c r="D41" s="222">
        <f>+D40*78%</f>
        <v>298.74</v>
      </c>
      <c r="E41" s="93">
        <f t="shared" si="31"/>
        <v>298.74</v>
      </c>
      <c r="F41" s="93">
        <f t="shared" si="31"/>
        <v>298.74</v>
      </c>
      <c r="G41" s="93">
        <f t="shared" si="31"/>
        <v>298.74</v>
      </c>
      <c r="H41" s="93">
        <f t="shared" si="31"/>
        <v>298.74</v>
      </c>
      <c r="I41" s="93">
        <f t="shared" si="31"/>
        <v>298.74</v>
      </c>
      <c r="J41" s="93">
        <f t="shared" si="31"/>
        <v>298.74</v>
      </c>
      <c r="K41" s="93">
        <f t="shared" si="31"/>
        <v>298.74</v>
      </c>
      <c r="L41" s="84">
        <f t="shared" si="31"/>
        <v>298.74</v>
      </c>
      <c r="M41" s="84">
        <f t="shared" si="31"/>
        <v>298.74</v>
      </c>
      <c r="N41" s="65"/>
      <c r="O41" s="65"/>
      <c r="P41" s="80">
        <f t="shared" si="25"/>
        <v>298.74</v>
      </c>
      <c r="Q41" s="65"/>
      <c r="R41" s="65"/>
      <c r="S41" s="65"/>
      <c r="T41" s="65"/>
      <c r="U41" s="65"/>
      <c r="V41" s="65"/>
      <c r="W41" s="65"/>
      <c r="X41" s="65"/>
      <c r="Y41" s="65"/>
      <c r="Z41" s="65"/>
      <c r="AA41" s="65"/>
      <c r="AB41" s="65"/>
      <c r="AC41" s="65"/>
      <c r="AD41" s="65"/>
      <c r="AE41" s="65"/>
      <c r="AF41" s="65"/>
      <c r="AG41" s="65"/>
      <c r="AH41" s="65"/>
      <c r="AI41" s="65"/>
      <c r="AJ41" s="65"/>
      <c r="AK41" s="65"/>
      <c r="AL41" s="65"/>
      <c r="AM41" s="65"/>
      <c r="AN41" s="65"/>
      <c r="AO41" s="65"/>
      <c r="AP41" s="65"/>
      <c r="AQ41" s="65"/>
      <c r="AR41" s="65"/>
      <c r="AS41" s="65"/>
      <c r="AU41" s="126" t="s">
        <v>41</v>
      </c>
      <c r="AV41" s="232">
        <v>219.17</v>
      </c>
    </row>
    <row r="42" spans="3:48" x14ac:dyDescent="0.25">
      <c r="C42" s="115" t="s">
        <v>151</v>
      </c>
      <c r="D42" s="222">
        <v>453</v>
      </c>
      <c r="E42" s="93">
        <f t="shared" si="31"/>
        <v>453</v>
      </c>
      <c r="F42" s="93">
        <f t="shared" si="31"/>
        <v>453</v>
      </c>
      <c r="G42" s="93">
        <f t="shared" si="31"/>
        <v>453</v>
      </c>
      <c r="H42" s="93">
        <f t="shared" si="31"/>
        <v>453</v>
      </c>
      <c r="I42" s="93">
        <f t="shared" si="31"/>
        <v>453</v>
      </c>
      <c r="J42" s="93">
        <f t="shared" si="31"/>
        <v>453</v>
      </c>
      <c r="K42" s="93">
        <f t="shared" si="31"/>
        <v>453</v>
      </c>
      <c r="L42" s="84">
        <f t="shared" si="31"/>
        <v>453</v>
      </c>
      <c r="M42" s="84">
        <f t="shared" si="31"/>
        <v>453</v>
      </c>
      <c r="N42" s="65"/>
      <c r="O42" s="65"/>
      <c r="P42" s="80">
        <f t="shared" si="25"/>
        <v>453</v>
      </c>
      <c r="Q42" s="65"/>
      <c r="R42" s="65"/>
      <c r="S42" s="65"/>
      <c r="T42" s="65"/>
      <c r="U42" s="65"/>
      <c r="V42" s="65"/>
      <c r="W42" s="65"/>
      <c r="X42" s="65"/>
      <c r="Y42" s="65"/>
      <c r="Z42" s="65"/>
      <c r="AA42" s="65"/>
      <c r="AB42" s="65"/>
      <c r="AC42" s="65"/>
      <c r="AD42" s="65"/>
      <c r="AE42" s="65"/>
      <c r="AF42" s="65"/>
      <c r="AG42" s="65"/>
      <c r="AH42" s="65"/>
      <c r="AI42" s="65"/>
      <c r="AJ42" s="65"/>
      <c r="AK42" s="65"/>
      <c r="AL42" s="65"/>
      <c r="AM42" s="65"/>
      <c r="AN42" s="65"/>
      <c r="AO42" s="65"/>
      <c r="AP42" s="65"/>
      <c r="AQ42" s="65"/>
      <c r="AR42" s="65"/>
      <c r="AS42" s="65"/>
      <c r="AU42" s="127" t="s">
        <v>42</v>
      </c>
      <c r="AV42" s="232">
        <v>204.85</v>
      </c>
    </row>
    <row r="43" spans="3:48" x14ac:dyDescent="0.25">
      <c r="C43" s="115" t="s">
        <v>152</v>
      </c>
      <c r="D43" s="222">
        <f>+D42*78%</f>
        <v>353.34000000000003</v>
      </c>
      <c r="E43" s="93">
        <f t="shared" si="31"/>
        <v>353.34000000000003</v>
      </c>
      <c r="F43" s="93">
        <f t="shared" si="31"/>
        <v>353.34000000000003</v>
      </c>
      <c r="G43" s="93">
        <f t="shared" si="31"/>
        <v>353.34000000000003</v>
      </c>
      <c r="H43" s="93">
        <f t="shared" si="31"/>
        <v>353.34000000000003</v>
      </c>
      <c r="I43" s="93">
        <f t="shared" si="31"/>
        <v>353.34000000000003</v>
      </c>
      <c r="J43" s="93">
        <f t="shared" si="31"/>
        <v>353.34000000000003</v>
      </c>
      <c r="K43" s="93">
        <f t="shared" si="31"/>
        <v>353.34000000000003</v>
      </c>
      <c r="L43" s="84">
        <f t="shared" si="31"/>
        <v>353.34000000000003</v>
      </c>
      <c r="M43" s="84">
        <f t="shared" si="31"/>
        <v>353.34000000000003</v>
      </c>
      <c r="N43" s="65"/>
      <c r="O43" s="65"/>
      <c r="P43" s="80">
        <f t="shared" si="25"/>
        <v>353.34000000000003</v>
      </c>
      <c r="Q43" s="65"/>
      <c r="R43" s="65"/>
      <c r="S43" s="65"/>
      <c r="T43" s="65"/>
      <c r="U43" s="65"/>
      <c r="V43" s="65"/>
      <c r="W43" s="65"/>
      <c r="X43" s="65"/>
      <c r="Y43" s="65"/>
      <c r="Z43" s="65"/>
      <c r="AA43" s="65"/>
      <c r="AB43" s="65"/>
      <c r="AC43" s="65"/>
      <c r="AD43" s="65"/>
      <c r="AE43" s="65"/>
      <c r="AF43" s="65"/>
      <c r="AG43" s="65"/>
      <c r="AH43" s="65"/>
      <c r="AI43" s="65"/>
      <c r="AJ43" s="65"/>
      <c r="AK43" s="65"/>
      <c r="AL43" s="65"/>
      <c r="AM43" s="65"/>
      <c r="AN43" s="65"/>
      <c r="AO43" s="65"/>
      <c r="AP43" s="65"/>
      <c r="AQ43" s="65"/>
      <c r="AR43" s="65"/>
      <c r="AS43" s="65"/>
      <c r="AU43" s="128" t="s">
        <v>20</v>
      </c>
      <c r="AV43" s="232">
        <v>700.47</v>
      </c>
    </row>
    <row r="44" spans="3:48" x14ac:dyDescent="0.25">
      <c r="C44" s="121" t="s">
        <v>4</v>
      </c>
      <c r="D44" s="221">
        <f>ROUNDUP(176.69*1.009,2)</f>
        <v>178.29</v>
      </c>
      <c r="E44" s="221">
        <f>ROUNDUP(159.08*1.009,2)</f>
        <v>160.51999999999998</v>
      </c>
      <c r="F44" s="221">
        <f>ROUNDUP(141.39*1.009,2)</f>
        <v>142.66999999999999</v>
      </c>
      <c r="G44" s="93">
        <f t="shared" si="31"/>
        <v>142.66999999999999</v>
      </c>
      <c r="H44" s="93">
        <f t="shared" si="31"/>
        <v>142.66999999999999</v>
      </c>
      <c r="I44" s="93">
        <f t="shared" si="31"/>
        <v>142.66999999999999</v>
      </c>
      <c r="J44" s="221">
        <f>ROUNDUP(127.27*1.009,2)</f>
        <v>128.41999999999999</v>
      </c>
      <c r="K44" s="93">
        <f>+J44</f>
        <v>128.41999999999999</v>
      </c>
      <c r="L44" s="84">
        <f t="shared" si="31"/>
        <v>128.41999999999999</v>
      </c>
      <c r="M44" s="84">
        <f t="shared" si="31"/>
        <v>128.41999999999999</v>
      </c>
      <c r="N44" s="65"/>
      <c r="O44" s="65"/>
      <c r="P44" s="80">
        <f t="shared" si="25"/>
        <v>142.66999999999999</v>
      </c>
      <c r="Q44" s="65"/>
      <c r="R44" s="65"/>
      <c r="S44" s="65"/>
      <c r="T44" s="65"/>
      <c r="U44" s="65"/>
      <c r="V44" s="65"/>
      <c r="W44" s="65"/>
      <c r="X44" s="65"/>
      <c r="Y44" s="65"/>
      <c r="Z44" s="65"/>
      <c r="AA44" s="65"/>
      <c r="AB44" s="65"/>
      <c r="AC44" s="65"/>
      <c r="AD44" s="65"/>
      <c r="AE44" s="65"/>
      <c r="AF44" s="65"/>
      <c r="AG44" s="65"/>
      <c r="AH44" s="65"/>
      <c r="AI44" s="65"/>
      <c r="AJ44" s="65"/>
      <c r="AK44" s="65"/>
      <c r="AL44" s="65"/>
      <c r="AM44" s="65"/>
      <c r="AN44" s="65"/>
      <c r="AO44" s="65"/>
      <c r="AP44" s="65"/>
      <c r="AQ44" s="65"/>
      <c r="AR44" s="65"/>
      <c r="AS44" s="65"/>
      <c r="AU44" s="128" t="s">
        <v>21</v>
      </c>
      <c r="AV44" s="232">
        <v>623.09</v>
      </c>
    </row>
    <row r="45" spans="3:48" x14ac:dyDescent="0.25">
      <c r="C45" s="116" t="s">
        <v>5</v>
      </c>
      <c r="D45" s="221">
        <f>ROUNDUP(588.76*1.009,2)</f>
        <v>594.05999999999995</v>
      </c>
      <c r="E45" s="221">
        <f>ROUNDUP(529.91*1.009,2)</f>
        <v>534.67999999999995</v>
      </c>
      <c r="F45" s="221">
        <f>ROUNDUP(471.02*1.009,2)</f>
        <v>475.26</v>
      </c>
      <c r="G45" s="93">
        <f t="shared" si="31"/>
        <v>475.26</v>
      </c>
      <c r="H45" s="93">
        <f t="shared" si="31"/>
        <v>475.26</v>
      </c>
      <c r="I45" s="93">
        <f t="shared" si="31"/>
        <v>475.26</v>
      </c>
      <c r="J45" s="221">
        <f>ROUNDUP(423.92*1.009,2)</f>
        <v>427.74</v>
      </c>
      <c r="K45" s="93">
        <f>+J45</f>
        <v>427.74</v>
      </c>
      <c r="L45" s="84">
        <f t="shared" si="31"/>
        <v>427.74</v>
      </c>
      <c r="M45" s="84">
        <f t="shared" si="31"/>
        <v>427.74</v>
      </c>
      <c r="N45" s="65"/>
      <c r="O45" s="65"/>
      <c r="P45" s="80">
        <f t="shared" si="25"/>
        <v>475.26</v>
      </c>
      <c r="Q45" s="65"/>
      <c r="R45" s="65"/>
      <c r="S45" s="65"/>
      <c r="T45" s="65"/>
      <c r="U45" s="65"/>
      <c r="V45" s="65"/>
      <c r="W45" s="65"/>
      <c r="X45" s="65"/>
      <c r="Y45" s="65"/>
      <c r="Z45" s="65"/>
      <c r="AA45" s="65"/>
      <c r="AB45" s="65"/>
      <c r="AC45" s="65"/>
      <c r="AD45" s="65"/>
      <c r="AE45" s="65"/>
      <c r="AF45" s="65"/>
      <c r="AG45" s="65"/>
      <c r="AH45" s="65"/>
      <c r="AI45" s="65"/>
      <c r="AJ45" s="65"/>
      <c r="AK45" s="65"/>
      <c r="AL45" s="65"/>
      <c r="AM45" s="65"/>
      <c r="AN45" s="65"/>
      <c r="AO45" s="65"/>
      <c r="AP45" s="65"/>
      <c r="AQ45" s="65"/>
      <c r="AR45" s="65"/>
      <c r="AS45" s="65"/>
      <c r="AU45" s="128" t="s">
        <v>22</v>
      </c>
      <c r="AV45" s="232">
        <v>561.12</v>
      </c>
    </row>
    <row r="46" spans="3:48" x14ac:dyDescent="0.25">
      <c r="C46" s="117" t="s">
        <v>6</v>
      </c>
      <c r="D46" s="221">
        <f>ROUNDUP(41.34*1.009,2)</f>
        <v>41.72</v>
      </c>
      <c r="E46" s="221">
        <f>ROUNDUP(37.19*1.009,2)</f>
        <v>37.53</v>
      </c>
      <c r="F46" s="221">
        <f>ROUNDUP(33.12*1.009,2)</f>
        <v>33.419999999999995</v>
      </c>
      <c r="G46" s="93">
        <f t="shared" si="31"/>
        <v>33.419999999999995</v>
      </c>
      <c r="H46" s="93">
        <f t="shared" si="31"/>
        <v>33.419999999999995</v>
      </c>
      <c r="I46" s="93">
        <f t="shared" si="31"/>
        <v>33.419999999999995</v>
      </c>
      <c r="J46" s="221">
        <f>ROUNDUP(29.78*1.009,2)</f>
        <v>30.05</v>
      </c>
      <c r="K46" s="93">
        <f>+J46</f>
        <v>30.05</v>
      </c>
      <c r="L46" s="84">
        <f t="shared" si="31"/>
        <v>30.05</v>
      </c>
      <c r="M46" s="84">
        <f t="shared" si="31"/>
        <v>30.05</v>
      </c>
      <c r="N46" s="65"/>
      <c r="O46" s="65"/>
      <c r="P46" s="80">
        <f t="shared" si="25"/>
        <v>33.419999999999995</v>
      </c>
      <c r="Q46" s="65"/>
      <c r="R46" s="65"/>
      <c r="S46" s="65"/>
      <c r="T46" s="65"/>
      <c r="U46" s="65"/>
      <c r="V46" s="65"/>
      <c r="W46" s="65"/>
      <c r="X46" s="65"/>
      <c r="Y46" s="65"/>
      <c r="Z46" s="65"/>
      <c r="AA46" s="65"/>
      <c r="AB46" s="65"/>
      <c r="AC46" s="65"/>
      <c r="AD46" s="65"/>
      <c r="AE46" s="65"/>
      <c r="AF46" s="65"/>
      <c r="AG46" s="65"/>
      <c r="AH46" s="65"/>
      <c r="AI46" s="65"/>
      <c r="AJ46" s="65"/>
      <c r="AK46" s="65"/>
      <c r="AL46" s="65"/>
      <c r="AM46" s="65"/>
      <c r="AN46" s="65"/>
      <c r="AO46" s="65"/>
      <c r="AP46" s="65"/>
      <c r="AQ46" s="65"/>
      <c r="AR46" s="65"/>
      <c r="AS46" s="65"/>
      <c r="AU46" s="128" t="s">
        <v>23</v>
      </c>
      <c r="AV46" s="232">
        <v>511.08</v>
      </c>
    </row>
    <row r="47" spans="3:48" x14ac:dyDescent="0.25">
      <c r="C47" s="118" t="s">
        <v>13</v>
      </c>
      <c r="D47" s="223">
        <f>ROUNDUP(48.99*1.009,2)</f>
        <v>49.44</v>
      </c>
      <c r="E47" s="93">
        <f>+D47</f>
        <v>49.44</v>
      </c>
      <c r="F47" s="93">
        <f>+E47</f>
        <v>49.44</v>
      </c>
      <c r="G47" s="93">
        <f t="shared" si="31"/>
        <v>49.44</v>
      </c>
      <c r="H47" s="93">
        <f t="shared" si="31"/>
        <v>49.44</v>
      </c>
      <c r="I47" s="93">
        <f t="shared" si="31"/>
        <v>49.44</v>
      </c>
      <c r="J47" s="223">
        <f>ROUNDUP(38.56*1.009,2)</f>
        <v>38.909999999999997</v>
      </c>
      <c r="K47" s="93">
        <f>+J47</f>
        <v>38.909999999999997</v>
      </c>
      <c r="L47" s="84">
        <f t="shared" si="31"/>
        <v>38.909999999999997</v>
      </c>
      <c r="M47" s="84">
        <f t="shared" si="31"/>
        <v>38.909999999999997</v>
      </c>
      <c r="N47" s="65"/>
      <c r="O47" s="65"/>
      <c r="P47" s="80">
        <f t="shared" si="25"/>
        <v>49.44</v>
      </c>
      <c r="Q47" s="65"/>
      <c r="R47" s="65"/>
      <c r="S47" s="65"/>
      <c r="T47" s="65"/>
      <c r="U47" s="65"/>
      <c r="V47" s="65"/>
      <c r="W47" s="65"/>
      <c r="X47" s="65"/>
      <c r="Y47" s="65"/>
      <c r="Z47" s="65"/>
      <c r="AA47" s="65"/>
      <c r="AB47" s="65"/>
      <c r="AC47" s="65"/>
      <c r="AD47" s="65"/>
      <c r="AE47" s="65"/>
      <c r="AF47" s="65"/>
      <c r="AG47" s="65"/>
      <c r="AH47" s="65"/>
      <c r="AI47" s="65"/>
      <c r="AJ47" s="65"/>
      <c r="AK47" s="65"/>
      <c r="AL47" s="65"/>
      <c r="AM47" s="65"/>
      <c r="AN47" s="65"/>
      <c r="AO47" s="65"/>
      <c r="AP47" s="65"/>
      <c r="AQ47" s="65"/>
      <c r="AR47" s="65"/>
      <c r="AS47" s="65"/>
      <c r="AU47" s="128" t="s">
        <v>24</v>
      </c>
      <c r="AV47" s="232">
        <v>344.34999999999997</v>
      </c>
    </row>
    <row r="48" spans="3:48" x14ac:dyDescent="0.25">
      <c r="C48" s="119" t="s">
        <v>154</v>
      </c>
      <c r="D48" s="224">
        <v>112.91</v>
      </c>
      <c r="E48" s="93">
        <f>+D48</f>
        <v>112.91</v>
      </c>
      <c r="F48" s="93">
        <f>+E48</f>
        <v>112.91</v>
      </c>
      <c r="G48" s="93">
        <f t="shared" si="31"/>
        <v>112.91</v>
      </c>
      <c r="H48" s="93">
        <f t="shared" si="31"/>
        <v>112.91</v>
      </c>
      <c r="I48" s="93">
        <f t="shared" si="31"/>
        <v>112.91</v>
      </c>
      <c r="J48" s="225">
        <v>88.86</v>
      </c>
      <c r="K48" s="93">
        <f>+J48</f>
        <v>88.86</v>
      </c>
      <c r="L48" s="84">
        <f t="shared" si="31"/>
        <v>88.86</v>
      </c>
      <c r="M48" s="84">
        <f t="shared" si="31"/>
        <v>88.86</v>
      </c>
      <c r="N48" s="65"/>
      <c r="O48" s="65"/>
      <c r="P48" s="80">
        <f t="shared" si="25"/>
        <v>112.91</v>
      </c>
      <c r="Q48" s="65"/>
      <c r="R48" s="65"/>
      <c r="S48" s="65"/>
      <c r="T48" s="65"/>
      <c r="U48" s="65"/>
      <c r="V48" s="65"/>
      <c r="W48" s="65"/>
      <c r="X48" s="65"/>
      <c r="Y48" s="65"/>
      <c r="Z48" s="65"/>
      <c r="AA48" s="65"/>
      <c r="AB48" s="65"/>
      <c r="AC48" s="65"/>
      <c r="AD48" s="65"/>
      <c r="AE48" s="65"/>
      <c r="AF48" s="65"/>
      <c r="AG48" s="65"/>
      <c r="AH48" s="65"/>
      <c r="AI48" s="65"/>
      <c r="AJ48" s="65"/>
      <c r="AK48" s="65"/>
      <c r="AL48" s="65"/>
      <c r="AM48" s="65"/>
      <c r="AN48" s="65"/>
      <c r="AO48" s="65"/>
      <c r="AP48" s="65"/>
      <c r="AQ48" s="65"/>
      <c r="AR48" s="65"/>
      <c r="AS48" s="65"/>
      <c r="AU48" s="129" t="s">
        <v>25</v>
      </c>
      <c r="AV48" s="232">
        <v>330.03999999999996</v>
      </c>
    </row>
    <row r="49" spans="3:48" x14ac:dyDescent="0.25">
      <c r="C49" s="65"/>
      <c r="D49" s="65"/>
      <c r="E49" s="65"/>
      <c r="F49" s="65"/>
      <c r="G49" s="65"/>
      <c r="H49" s="65"/>
      <c r="I49" s="65"/>
      <c r="J49" s="65"/>
      <c r="K49" s="65"/>
      <c r="L49" s="65"/>
      <c r="M49" s="65"/>
      <c r="N49" s="65"/>
      <c r="O49" s="65"/>
      <c r="P49" s="65"/>
      <c r="Q49" s="65"/>
      <c r="R49" s="65"/>
      <c r="S49" s="65"/>
      <c r="T49" s="65"/>
      <c r="U49" s="65"/>
      <c r="V49" s="65"/>
      <c r="W49" s="65"/>
      <c r="X49" s="65"/>
      <c r="Y49" s="65"/>
      <c r="Z49" s="65"/>
      <c r="AA49" s="65"/>
      <c r="AB49" s="65"/>
      <c r="AC49" s="65"/>
      <c r="AD49" s="65"/>
      <c r="AE49" s="65"/>
      <c r="AF49" s="65"/>
      <c r="AG49" s="65"/>
      <c r="AH49" s="65"/>
      <c r="AI49" s="65"/>
      <c r="AJ49" s="65"/>
      <c r="AK49" s="65"/>
      <c r="AL49" s="65"/>
      <c r="AM49" s="65"/>
      <c r="AN49" s="65"/>
      <c r="AO49" s="65"/>
      <c r="AP49" s="65"/>
      <c r="AQ49" s="65"/>
      <c r="AR49" s="65"/>
      <c r="AS49" s="65"/>
      <c r="AU49" s="129" t="s">
        <v>26</v>
      </c>
      <c r="AV49" s="232">
        <v>256.17</v>
      </c>
    </row>
    <row r="50" spans="3:48" x14ac:dyDescent="0.25">
      <c r="C50" s="65"/>
      <c r="D50" s="65"/>
      <c r="E50" s="65"/>
      <c r="F50" s="65"/>
      <c r="G50" s="65"/>
      <c r="H50" s="65"/>
      <c r="I50" s="65"/>
      <c r="J50" s="65"/>
      <c r="K50" s="65"/>
      <c r="L50" s="65"/>
      <c r="M50" s="65"/>
      <c r="N50" s="65"/>
      <c r="O50" s="120" t="s">
        <v>44</v>
      </c>
      <c r="P50" s="96">
        <f>INT(+Nóminab!C7/3)</f>
        <v>3</v>
      </c>
      <c r="Q50" s="65"/>
      <c r="R50" s="65"/>
      <c r="S50" s="65"/>
      <c r="T50" s="65"/>
      <c r="U50" s="65"/>
      <c r="V50" s="65"/>
      <c r="W50" s="65"/>
      <c r="X50" s="65"/>
      <c r="Y50" s="65"/>
      <c r="Z50" s="65"/>
      <c r="AA50" s="65"/>
      <c r="AB50" s="65"/>
      <c r="AC50" s="65"/>
      <c r="AD50" s="65"/>
      <c r="AE50" s="65"/>
      <c r="AF50" s="65"/>
      <c r="AG50" s="65"/>
      <c r="AH50" s="65"/>
      <c r="AI50" s="65"/>
      <c r="AJ50" s="65"/>
      <c r="AK50" s="65"/>
      <c r="AL50" s="65"/>
      <c r="AM50" s="65"/>
      <c r="AN50" s="65"/>
      <c r="AO50" s="65"/>
      <c r="AP50" s="65"/>
      <c r="AQ50" s="65"/>
      <c r="AR50" s="65"/>
      <c r="AS50" s="65"/>
      <c r="AU50" s="129" t="s">
        <v>27</v>
      </c>
      <c r="AV50" s="232">
        <v>204.95999999999998</v>
      </c>
    </row>
    <row r="51" spans="3:48" x14ac:dyDescent="0.25">
      <c r="C51" s="65"/>
      <c r="D51" s="65" t="s">
        <v>227</v>
      </c>
      <c r="E51" s="65"/>
      <c r="F51" s="65"/>
      <c r="G51" s="65"/>
      <c r="H51" s="65"/>
      <c r="I51" s="65"/>
      <c r="J51" s="65"/>
      <c r="K51" s="65"/>
      <c r="L51" s="65"/>
      <c r="M51" s="65"/>
      <c r="N51" s="65"/>
      <c r="O51" s="120" t="s">
        <v>155</v>
      </c>
      <c r="P51" s="120">
        <f>INT(+Nóminab!C7/6)</f>
        <v>1</v>
      </c>
      <c r="Q51" s="65"/>
      <c r="R51" s="65"/>
      <c r="S51" s="65"/>
      <c r="T51" s="65"/>
      <c r="U51" s="65"/>
      <c r="V51" s="65"/>
      <c r="W51" s="65"/>
      <c r="X51" s="65"/>
      <c r="Y51" s="65"/>
      <c r="Z51" s="65"/>
      <c r="AA51" s="65"/>
      <c r="AB51" s="65"/>
      <c r="AC51" s="65"/>
      <c r="AD51" s="65"/>
      <c r="AE51" s="65"/>
      <c r="AF51" s="65"/>
      <c r="AG51" s="65"/>
      <c r="AH51" s="65"/>
      <c r="AI51" s="65"/>
      <c r="AJ51" s="65"/>
      <c r="AK51" s="65"/>
      <c r="AL51" s="65"/>
      <c r="AM51" s="65"/>
      <c r="AN51" s="65"/>
      <c r="AO51" s="65"/>
      <c r="AP51" s="65"/>
      <c r="AQ51" s="65"/>
      <c r="AR51" s="65"/>
      <c r="AS51" s="65"/>
      <c r="AU51" s="129" t="s">
        <v>28</v>
      </c>
      <c r="AV51" s="232">
        <v>344.34999999999997</v>
      </c>
    </row>
    <row r="52" spans="3:48" x14ac:dyDescent="0.25">
      <c r="C52" s="65"/>
      <c r="D52"/>
      <c r="E52" s="65"/>
      <c r="F52"/>
      <c r="G52" s="65"/>
      <c r="H52" s="65"/>
      <c r="I52" s="65"/>
      <c r="J52" s="65"/>
      <c r="K52" s="65"/>
      <c r="L52"/>
      <c r="M52" s="65"/>
      <c r="N52" s="65"/>
      <c r="O52" s="120" t="s">
        <v>141</v>
      </c>
      <c r="P52" s="123" t="str">
        <f>+Nóminab!C13</f>
        <v>N</v>
      </c>
      <c r="Q52" s="65"/>
      <c r="R52" s="65"/>
      <c r="S52" s="65"/>
      <c r="T52" s="65"/>
      <c r="U52" s="65"/>
      <c r="V52" s="65"/>
      <c r="W52" s="65"/>
      <c r="X52" s="65"/>
      <c r="Y52" s="65"/>
      <c r="Z52" s="65"/>
      <c r="AA52" s="65"/>
      <c r="AB52" s="65"/>
      <c r="AC52" s="65"/>
      <c r="AD52" s="65"/>
      <c r="AE52" s="65"/>
      <c r="AF52" s="65"/>
      <c r="AG52" s="65"/>
      <c r="AH52" s="65"/>
      <c r="AI52" s="65"/>
      <c r="AJ52" s="65"/>
      <c r="AK52" s="65"/>
      <c r="AL52" s="65"/>
      <c r="AM52" s="65"/>
      <c r="AN52" s="65"/>
      <c r="AO52" s="65"/>
      <c r="AP52" s="65"/>
      <c r="AQ52" s="65"/>
      <c r="AR52" s="65"/>
      <c r="AS52" s="65"/>
      <c r="AU52" s="129" t="s">
        <v>29</v>
      </c>
      <c r="AV52" s="232">
        <v>330.03999999999996</v>
      </c>
    </row>
    <row r="53" spans="3:48" x14ac:dyDescent="0.25">
      <c r="C53" s="65"/>
      <c r="D53" s="65"/>
      <c r="E53" s="65"/>
      <c r="F53" s="65"/>
      <c r="G53" s="65"/>
      <c r="H53" s="65"/>
      <c r="I53" s="65"/>
      <c r="J53" s="65"/>
      <c r="K53" s="65"/>
      <c r="L53" s="65"/>
      <c r="M53" s="65"/>
      <c r="N53" s="65"/>
      <c r="O53" s="65"/>
      <c r="P53" s="65"/>
      <c r="Q53" s="65"/>
      <c r="R53" s="65"/>
      <c r="S53" s="65"/>
      <c r="T53" s="65"/>
      <c r="U53" s="65"/>
      <c r="V53" s="65"/>
      <c r="W53" s="65"/>
      <c r="X53" s="65"/>
      <c r="Y53" s="65"/>
      <c r="Z53" s="65"/>
      <c r="AA53" s="65"/>
      <c r="AB53" s="65"/>
      <c r="AC53" s="65"/>
      <c r="AD53" s="65"/>
      <c r="AE53" s="65"/>
      <c r="AF53" s="65"/>
      <c r="AG53" s="65"/>
      <c r="AH53" s="65"/>
      <c r="AI53" s="65"/>
      <c r="AJ53" s="65"/>
      <c r="AK53" s="65"/>
      <c r="AL53" s="65"/>
      <c r="AM53" s="65"/>
      <c r="AN53" s="65"/>
      <c r="AO53" s="65"/>
      <c r="AP53" s="65"/>
      <c r="AQ53" s="65"/>
      <c r="AR53" s="65"/>
      <c r="AS53" s="65"/>
      <c r="AU53" s="128" t="s">
        <v>30</v>
      </c>
      <c r="AV53" s="232">
        <v>256.17</v>
      </c>
    </row>
    <row r="54" spans="3:48" x14ac:dyDescent="0.25">
      <c r="C54" s="65"/>
      <c r="D54" s="65"/>
      <c r="E54" s="65"/>
      <c r="F54" s="65"/>
      <c r="G54" s="65"/>
      <c r="H54" s="65"/>
      <c r="I54" s="65"/>
      <c r="J54" s="65"/>
      <c r="K54" s="65"/>
      <c r="L54" s="65"/>
      <c r="M54" s="65"/>
      <c r="N54" s="65"/>
      <c r="O54" s="65" t="s">
        <v>177</v>
      </c>
      <c r="P54" s="65">
        <f>((+P26+P30+P32+(P28*P50)+(IF(P51=1,P34,IF(P51=2,P36,IF(P51=3,P38,IF(P51=4,P40,IF(P51&gt;4,P42,0)))))))*12)+((P27+P31+P33+(P29*P50)+(IF(P51=1,P34*0.78,IF(P51=2,P36*0.78,IF(P51=3,P38*0.78,IF(P51=4,P40*0.78,IF(P51&gt;4,P42*0.78,0)))))))*2)+(IF(P52="S",(P45+(P46*P50))*12,P44*12))</f>
        <v>38569.24</v>
      </c>
      <c r="Q54" s="65"/>
      <c r="R54" s="65"/>
      <c r="S54" s="65"/>
      <c r="T54" s="65"/>
      <c r="U54" s="65"/>
      <c r="V54" s="65"/>
      <c r="W54" s="65"/>
      <c r="X54" s="65"/>
      <c r="Y54" s="65"/>
      <c r="Z54" s="65"/>
      <c r="AA54" s="65"/>
      <c r="AB54" s="65"/>
      <c r="AC54" s="65"/>
      <c r="AD54" s="65"/>
      <c r="AE54" s="65"/>
      <c r="AF54" s="65"/>
      <c r="AG54" s="65"/>
      <c r="AH54" s="65"/>
      <c r="AI54" s="65"/>
      <c r="AJ54" s="65"/>
      <c r="AK54" s="65"/>
      <c r="AL54" s="65"/>
      <c r="AM54" s="65"/>
      <c r="AN54" s="65"/>
      <c r="AO54" s="65"/>
      <c r="AP54" s="65"/>
      <c r="AQ54" s="65"/>
      <c r="AR54" s="65"/>
      <c r="AS54" s="65"/>
      <c r="AU54" s="128" t="s">
        <v>31</v>
      </c>
      <c r="AV54" s="232">
        <v>204.95999999999998</v>
      </c>
    </row>
    <row r="55" spans="3:48" x14ac:dyDescent="0.25">
      <c r="C55" s="65"/>
      <c r="D55" s="65"/>
      <c r="E55" s="65"/>
      <c r="F55" s="65"/>
      <c r="G55" s="65"/>
      <c r="H55" s="65"/>
      <c r="I55" s="65"/>
      <c r="J55" s="65"/>
      <c r="K55" s="65"/>
      <c r="L55" s="65"/>
      <c r="M55" s="65"/>
      <c r="N55" s="65"/>
      <c r="O55" s="65"/>
      <c r="P55" s="65">
        <f>(+P26+P30+P32+(P28*P50)+(IF(P51=1,P34,IF(P51=2,P36,IF(P51=3,P38,IF(P51=4,P40,IF(P51&gt;4,P42,0)))))))*1</f>
        <v>2729.63</v>
      </c>
      <c r="Q55" s="65">
        <f>+P55+P57</f>
        <v>2872.3</v>
      </c>
      <c r="R55" s="65"/>
      <c r="S55" s="65"/>
      <c r="T55" s="65"/>
      <c r="U55" s="65"/>
      <c r="V55" s="65"/>
      <c r="W55" s="65"/>
      <c r="X55" s="65"/>
      <c r="Y55" s="65"/>
      <c r="Z55" s="65"/>
      <c r="AA55" s="65"/>
      <c r="AB55" s="65"/>
      <c r="AC55" s="65"/>
      <c r="AD55" s="65"/>
      <c r="AE55" s="65"/>
      <c r="AF55" s="65"/>
      <c r="AG55" s="65"/>
      <c r="AH55" s="65"/>
      <c r="AI55" s="65"/>
      <c r="AJ55" s="65"/>
      <c r="AK55" s="65"/>
      <c r="AL55" s="65"/>
      <c r="AM55" s="65"/>
      <c r="AN55" s="65"/>
      <c r="AO55" s="65"/>
      <c r="AP55" s="65"/>
      <c r="AQ55" s="65"/>
      <c r="AR55" s="65"/>
      <c r="AS55" s="65"/>
      <c r="AU55" s="128" t="s">
        <v>32</v>
      </c>
      <c r="AV55" s="232">
        <v>344.34999999999997</v>
      </c>
    </row>
    <row r="56" spans="3:48" x14ac:dyDescent="0.25">
      <c r="C56" s="65"/>
      <c r="D56" s="65"/>
      <c r="E56" s="65"/>
      <c r="F56" s="65"/>
      <c r="G56" s="65"/>
      <c r="H56" s="65"/>
      <c r="I56" s="65"/>
      <c r="J56" s="65"/>
      <c r="K56" s="65"/>
      <c r="L56" s="65"/>
      <c r="M56" s="65"/>
      <c r="N56" s="65"/>
      <c r="O56" s="65"/>
      <c r="P56" s="65">
        <f>((P27+P31+P33+(P29*P50)+(IF(P51=1,P34*0.78,IF(P51=2,P36*0.78,IF(P51=3,P38*0.78,IF(P51=4,P40*0.78,IF(P51&gt;4,P42*0.78,0)))))))*1)</f>
        <v>2050.8199999999997</v>
      </c>
      <c r="Q56" s="65"/>
      <c r="R56" s="65"/>
      <c r="S56" s="65"/>
      <c r="T56" s="65"/>
      <c r="U56" s="65"/>
      <c r="V56" s="65"/>
      <c r="W56" s="65"/>
      <c r="X56" s="65"/>
      <c r="Y56" s="65"/>
      <c r="Z56" s="65"/>
      <c r="AA56" s="65"/>
      <c r="AB56" s="65"/>
      <c r="AC56" s="65"/>
      <c r="AD56" s="65"/>
      <c r="AE56" s="65"/>
      <c r="AF56" s="65"/>
      <c r="AG56" s="65"/>
      <c r="AH56" s="65"/>
      <c r="AI56" s="65"/>
      <c r="AJ56" s="65"/>
      <c r="AK56" s="65"/>
      <c r="AL56" s="65"/>
      <c r="AM56" s="65"/>
      <c r="AN56" s="65"/>
      <c r="AO56" s="65"/>
      <c r="AP56" s="65"/>
      <c r="AQ56" s="65"/>
      <c r="AR56" s="65"/>
      <c r="AS56" s="65"/>
      <c r="AU56" s="128" t="s">
        <v>33</v>
      </c>
      <c r="AV56" s="232">
        <v>330.03999999999996</v>
      </c>
    </row>
    <row r="57" spans="3:48" x14ac:dyDescent="0.25">
      <c r="C57" s="65"/>
      <c r="D57" s="65"/>
      <c r="E57" s="65"/>
      <c r="F57" s="65"/>
      <c r="G57" s="65"/>
      <c r="H57" s="65"/>
      <c r="I57" s="65"/>
      <c r="J57" s="65"/>
      <c r="K57" s="65"/>
      <c r="L57" s="65"/>
      <c r="M57" s="65"/>
      <c r="N57" s="65"/>
      <c r="O57" s="65"/>
      <c r="P57" s="65">
        <f>(IF(P52="S",(P45+(P46*P50))*1,P44*1))</f>
        <v>142.66999999999999</v>
      </c>
      <c r="Q57" s="65"/>
      <c r="R57" s="65"/>
      <c r="S57" s="65"/>
      <c r="T57" s="65"/>
      <c r="U57" s="65"/>
      <c r="V57" s="65"/>
      <c r="W57" s="65"/>
      <c r="X57" s="65"/>
      <c r="Y57" s="65"/>
      <c r="Z57" s="65"/>
      <c r="AA57" s="65"/>
      <c r="AB57" s="65"/>
      <c r="AC57" s="65"/>
      <c r="AD57" s="65"/>
      <c r="AE57" s="65"/>
      <c r="AF57" s="65"/>
      <c r="AG57" s="65"/>
      <c r="AH57" s="65"/>
      <c r="AI57" s="65"/>
      <c r="AJ57" s="65"/>
      <c r="AK57" s="65"/>
      <c r="AL57" s="65"/>
      <c r="AM57" s="65"/>
      <c r="AN57" s="65"/>
      <c r="AO57" s="65"/>
      <c r="AP57" s="65"/>
      <c r="AQ57" s="65"/>
      <c r="AR57" s="65"/>
      <c r="AS57" s="65"/>
      <c r="AU57" s="128" t="s">
        <v>34</v>
      </c>
      <c r="AV57" s="232">
        <v>256.17</v>
      </c>
    </row>
    <row r="58" spans="3:48" x14ac:dyDescent="0.25">
      <c r="C58" s="65"/>
      <c r="D58" s="65"/>
      <c r="E58" s="65"/>
      <c r="F58" s="65"/>
      <c r="G58" s="65"/>
      <c r="H58" s="65"/>
      <c r="I58" s="65"/>
      <c r="J58" s="65"/>
      <c r="K58" s="65"/>
      <c r="L58" s="65"/>
      <c r="M58" s="65"/>
      <c r="N58" s="65"/>
      <c r="O58" s="65"/>
      <c r="P58" s="65">
        <f>SUM(P55:P57)</f>
        <v>4923.12</v>
      </c>
      <c r="Q58" s="65"/>
      <c r="R58" s="65"/>
      <c r="S58" s="65"/>
      <c r="T58" s="65"/>
      <c r="U58" s="65"/>
      <c r="V58" s="65"/>
      <c r="W58" s="65"/>
      <c r="X58" s="65"/>
      <c r="Y58" s="65"/>
      <c r="Z58" s="65"/>
      <c r="AA58" s="65"/>
      <c r="AB58" s="65"/>
      <c r="AC58" s="65"/>
      <c r="AD58" s="65"/>
      <c r="AE58" s="65"/>
      <c r="AF58" s="65"/>
      <c r="AG58" s="65"/>
      <c r="AH58" s="65"/>
      <c r="AI58" s="65"/>
      <c r="AJ58" s="65"/>
      <c r="AK58" s="65"/>
      <c r="AL58" s="65"/>
      <c r="AM58" s="65"/>
      <c r="AN58" s="65"/>
      <c r="AO58" s="65"/>
      <c r="AP58" s="65"/>
      <c r="AQ58" s="65"/>
      <c r="AR58" s="65"/>
      <c r="AS58" s="65"/>
      <c r="AU58" s="128" t="s">
        <v>35</v>
      </c>
      <c r="AV58" s="232">
        <v>204.95999999999998</v>
      </c>
    </row>
    <row r="59" spans="3:48" x14ac:dyDescent="0.25">
      <c r="C59" s="65"/>
      <c r="D59" s="65"/>
      <c r="E59" s="65"/>
      <c r="F59" s="65"/>
      <c r="G59" s="65"/>
      <c r="H59" s="65"/>
      <c r="I59" s="65"/>
      <c r="J59" s="65"/>
      <c r="K59" s="65"/>
      <c r="L59" s="65"/>
      <c r="M59" s="65"/>
      <c r="N59" s="65"/>
      <c r="O59" s="65"/>
      <c r="P59" s="65"/>
      <c r="Q59" s="65"/>
      <c r="R59" s="65"/>
      <c r="S59" s="65"/>
      <c r="T59" s="65"/>
      <c r="U59" s="65"/>
      <c r="V59" s="65"/>
      <c r="W59" s="65"/>
      <c r="X59" s="65"/>
      <c r="Y59" s="65"/>
      <c r="Z59" s="65"/>
      <c r="AA59" s="65"/>
      <c r="AB59" s="65"/>
      <c r="AC59" s="65"/>
      <c r="AD59" s="65"/>
      <c r="AE59" s="65"/>
      <c r="AF59" s="65"/>
      <c r="AG59" s="65"/>
      <c r="AH59" s="65"/>
      <c r="AI59" s="65"/>
      <c r="AJ59" s="65"/>
      <c r="AK59" s="65"/>
      <c r="AL59" s="65"/>
      <c r="AM59" s="65"/>
      <c r="AN59" s="65"/>
      <c r="AO59" s="65"/>
      <c r="AP59" s="65"/>
      <c r="AQ59" s="65"/>
      <c r="AR59" s="65"/>
      <c r="AS59" s="65"/>
      <c r="AU59" s="128" t="s">
        <v>36</v>
      </c>
      <c r="AV59" s="232">
        <v>172.19</v>
      </c>
    </row>
    <row r="60" spans="3:48" x14ac:dyDescent="0.25">
      <c r="C60" s="65"/>
      <c r="D60" s="65"/>
      <c r="E60" s="65"/>
      <c r="F60" s="65"/>
      <c r="G60" s="65"/>
      <c r="H60" s="65"/>
      <c r="I60" s="65"/>
      <c r="J60" s="65"/>
      <c r="K60" s="65"/>
      <c r="L60" s="65"/>
      <c r="M60" s="65"/>
      <c r="N60" s="65"/>
      <c r="O60" s="65"/>
      <c r="P60" s="65"/>
      <c r="Q60" s="65"/>
      <c r="R60" s="65"/>
      <c r="S60" s="65"/>
      <c r="T60" s="65"/>
      <c r="U60" s="65"/>
      <c r="V60" s="65"/>
      <c r="W60" s="65"/>
      <c r="X60" s="65"/>
      <c r="Y60" s="65"/>
      <c r="Z60" s="65"/>
      <c r="AA60" s="65"/>
      <c r="AB60" s="65"/>
      <c r="AC60" s="65"/>
      <c r="AD60" s="65"/>
      <c r="AE60" s="65"/>
      <c r="AF60" s="65"/>
      <c r="AG60" s="65"/>
      <c r="AH60" s="65"/>
      <c r="AI60" s="65"/>
      <c r="AJ60" s="65"/>
      <c r="AK60" s="65"/>
      <c r="AL60" s="65"/>
      <c r="AM60" s="65"/>
      <c r="AN60" s="65"/>
      <c r="AO60" s="65"/>
      <c r="AP60" s="65"/>
      <c r="AQ60" s="65"/>
      <c r="AR60" s="65"/>
      <c r="AS60" s="65"/>
      <c r="AU60" s="129" t="s">
        <v>37</v>
      </c>
      <c r="AV60" s="232">
        <v>165.04999999999998</v>
      </c>
    </row>
    <row r="61" spans="3:48" x14ac:dyDescent="0.25">
      <c r="C61" s="65"/>
      <c r="D61" s="65"/>
      <c r="E61" s="65"/>
      <c r="F61" s="65"/>
      <c r="G61" s="65"/>
      <c r="H61" s="65"/>
      <c r="I61" s="65"/>
      <c r="J61" s="65"/>
      <c r="K61" s="65"/>
      <c r="L61" s="65"/>
      <c r="M61" s="65"/>
      <c r="N61" s="65"/>
      <c r="O61" s="65"/>
      <c r="P61" s="65"/>
      <c r="Q61" s="65"/>
      <c r="R61" s="65"/>
      <c r="S61" s="65"/>
      <c r="T61" s="65"/>
      <c r="U61" s="65"/>
      <c r="V61" s="65"/>
      <c r="W61" s="65"/>
      <c r="AU61" s="129" t="s">
        <v>38</v>
      </c>
      <c r="AV61" s="232">
        <v>128.13</v>
      </c>
    </row>
    <row r="62" spans="3:48" x14ac:dyDescent="0.25">
      <c r="C62" s="65"/>
      <c r="D62" s="65"/>
      <c r="E62" s="65"/>
      <c r="F62" s="65"/>
      <c r="G62" s="65"/>
      <c r="H62" s="65"/>
      <c r="I62" s="65"/>
      <c r="J62" s="65"/>
      <c r="K62" s="65"/>
      <c r="L62" s="65"/>
      <c r="M62" s="65"/>
      <c r="N62" s="65"/>
      <c r="O62" s="65"/>
      <c r="P62" s="65"/>
      <c r="Q62" s="65"/>
      <c r="R62" s="65"/>
      <c r="S62" s="65"/>
      <c r="T62" s="65"/>
      <c r="U62" s="65"/>
      <c r="V62" s="65"/>
      <c r="W62" s="65"/>
      <c r="AU62" s="129" t="s">
        <v>39</v>
      </c>
      <c r="AV62" s="232">
        <v>102.53</v>
      </c>
    </row>
    <row r="63" spans="3:48" x14ac:dyDescent="0.25">
      <c r="C63" s="65"/>
      <c r="D63" s="65"/>
      <c r="E63" s="65"/>
      <c r="F63" s="65"/>
      <c r="G63" s="65"/>
      <c r="H63" s="65"/>
      <c r="I63" s="65"/>
      <c r="J63" s="65"/>
      <c r="K63" s="65"/>
      <c r="M63" s="65"/>
      <c r="N63" s="65"/>
      <c r="O63" s="65"/>
      <c r="P63" s="65"/>
      <c r="Q63" s="65"/>
      <c r="R63" s="65"/>
      <c r="S63" s="65"/>
      <c r="T63" s="65"/>
      <c r="U63" s="65"/>
      <c r="V63" s="65"/>
      <c r="W63" s="65"/>
      <c r="AU63" s="14" t="s">
        <v>7</v>
      </c>
      <c r="AV63" s="232">
        <v>367.13</v>
      </c>
    </row>
    <row r="64" spans="3:48" x14ac:dyDescent="0.25">
      <c r="F64" s="65"/>
      <c r="J64" s="65"/>
      <c r="K64" s="65"/>
      <c r="AU64" s="14" t="s">
        <v>8</v>
      </c>
      <c r="AV64" s="232">
        <v>340.71</v>
      </c>
    </row>
    <row r="65" spans="10:48" x14ac:dyDescent="0.25">
      <c r="J65" s="65"/>
      <c r="K65" s="65"/>
      <c r="AU65" s="13" t="s">
        <v>9</v>
      </c>
      <c r="AV65" s="232">
        <v>177.35999999999999</v>
      </c>
    </row>
    <row r="66" spans="10:48" x14ac:dyDescent="0.25">
      <c r="J66" s="65"/>
      <c r="K66" s="65"/>
      <c r="AU66" s="13" t="s">
        <v>172</v>
      </c>
      <c r="AV66" s="232">
        <v>106.82000000000001</v>
      </c>
    </row>
    <row r="67" spans="10:48" x14ac:dyDescent="0.25">
      <c r="AU67" s="13" t="s">
        <v>133</v>
      </c>
      <c r="AV67" s="232">
        <v>415.71999999999997</v>
      </c>
    </row>
    <row r="68" spans="10:48" x14ac:dyDescent="0.25">
      <c r="AU68" s="13" t="s">
        <v>134</v>
      </c>
      <c r="AV68" s="232">
        <v>236.16</v>
      </c>
    </row>
    <row r="69" spans="10:48" x14ac:dyDescent="0.25">
      <c r="AU69" s="39" t="s">
        <v>254</v>
      </c>
      <c r="AV69" s="233"/>
    </row>
    <row r="70" spans="10:48" x14ac:dyDescent="0.25">
      <c r="AU70" s="14" t="s">
        <v>11</v>
      </c>
      <c r="AV70" s="232">
        <v>71.52000000000001</v>
      </c>
    </row>
    <row r="71" spans="10:48" x14ac:dyDescent="0.25">
      <c r="AU71" s="14" t="s">
        <v>14</v>
      </c>
      <c r="AV71" s="232">
        <v>140.66</v>
      </c>
    </row>
    <row r="72" spans="10:48" x14ac:dyDescent="0.25">
      <c r="AU72" s="14" t="s">
        <v>15</v>
      </c>
      <c r="AV72" s="232">
        <v>148.32999999999998</v>
      </c>
    </row>
    <row r="73" spans="10:48" x14ac:dyDescent="0.25">
      <c r="AU73" s="14" t="s">
        <v>16</v>
      </c>
      <c r="AV73" s="232">
        <v>159.22999999999999</v>
      </c>
    </row>
    <row r="74" spans="10:48" x14ac:dyDescent="0.25">
      <c r="AU74" s="14" t="s">
        <v>17</v>
      </c>
      <c r="AV74" s="232">
        <v>122.80000000000001</v>
      </c>
    </row>
    <row r="75" spans="10:48" x14ac:dyDescent="0.25">
      <c r="AU75" s="13" t="s">
        <v>18</v>
      </c>
      <c r="AV75" s="232">
        <v>129.66</v>
      </c>
    </row>
    <row r="76" spans="10:48" x14ac:dyDescent="0.25">
      <c r="AU76" s="13" t="s">
        <v>19</v>
      </c>
      <c r="AV76" s="232">
        <v>137.03</v>
      </c>
    </row>
    <row r="77" spans="10:48" x14ac:dyDescent="0.25">
      <c r="AU77" s="13" t="s">
        <v>12</v>
      </c>
      <c r="AV77" s="232">
        <v>153.87</v>
      </c>
    </row>
    <row r="78" spans="10:48" x14ac:dyDescent="0.25">
      <c r="AU78" s="13" t="s">
        <v>171</v>
      </c>
      <c r="AV78" s="232">
        <v>20.84</v>
      </c>
    </row>
    <row r="79" spans="10:48" x14ac:dyDescent="0.25">
      <c r="AU79" s="13" t="s">
        <v>10</v>
      </c>
      <c r="AV79" s="232">
        <v>17.73</v>
      </c>
    </row>
    <row r="80" spans="10:48" x14ac:dyDescent="0.25">
      <c r="AU80" s="14" t="s">
        <v>52</v>
      </c>
      <c r="AV80" s="232">
        <v>80.850000000000009</v>
      </c>
    </row>
    <row r="81" spans="47:48" x14ac:dyDescent="0.25">
      <c r="AU81" s="132" t="s">
        <v>255</v>
      </c>
      <c r="AV81" s="233"/>
    </row>
    <row r="82" spans="47:48" x14ac:dyDescent="0.25">
      <c r="AU82" s="14" t="s">
        <v>228</v>
      </c>
      <c r="AV82" s="232">
        <v>71.52000000000001</v>
      </c>
    </row>
    <row r="83" spans="47:48" x14ac:dyDescent="0.25">
      <c r="AU83" s="14" t="s">
        <v>173</v>
      </c>
      <c r="AV83" s="234">
        <v>35</v>
      </c>
    </row>
    <row r="84" spans="47:48" x14ac:dyDescent="0.25">
      <c r="AU84" s="14" t="s">
        <v>266</v>
      </c>
      <c r="AV84" s="234">
        <v>35</v>
      </c>
    </row>
    <row r="85" spans="47:48" x14ac:dyDescent="0.25">
      <c r="AU85" s="14" t="s">
        <v>267</v>
      </c>
      <c r="AV85" s="234">
        <v>35</v>
      </c>
    </row>
    <row r="86" spans="47:48" x14ac:dyDescent="0.25">
      <c r="AU86" s="14" t="s">
        <v>268</v>
      </c>
      <c r="AV86" s="234">
        <v>45</v>
      </c>
    </row>
    <row r="87" spans="47:48" x14ac:dyDescent="0.25">
      <c r="AU87" s="14" t="s">
        <v>269</v>
      </c>
      <c r="AV87" s="234">
        <v>45</v>
      </c>
    </row>
    <row r="88" spans="47:48" x14ac:dyDescent="0.25">
      <c r="AU88" s="14" t="s">
        <v>270</v>
      </c>
      <c r="AV88" s="234">
        <v>55</v>
      </c>
    </row>
    <row r="89" spans="47:48" x14ac:dyDescent="0.25">
      <c r="AU89" s="14" t="s">
        <v>174</v>
      </c>
      <c r="AV89" s="234">
        <v>30</v>
      </c>
    </row>
    <row r="90" spans="47:48" x14ac:dyDescent="0.25">
      <c r="AU90" s="14" t="s">
        <v>178</v>
      </c>
      <c r="AV90" s="234">
        <v>30</v>
      </c>
    </row>
    <row r="91" spans="47:48" x14ac:dyDescent="0.25">
      <c r="AU91" s="14" t="s">
        <v>175</v>
      </c>
      <c r="AV91" s="234">
        <v>30</v>
      </c>
    </row>
  </sheetData>
  <sheetProtection algorithmName="SHA-512" hashValue="Pmx1yVrriuVKIGTufunujPGPyBHToIbuCtu8nn1KMPZWxTvT9eDpbDm+uHhmL2pX7qFCRuaFQe/kinLrYnJX7w==" saltValue="d3g4E3IkhMxjcec9HvskDw==" spinCount="100000" sheet="1" selectLockedCells="1" selectUnlockedCells="1"/>
  <mergeCells count="2">
    <mergeCell ref="V2:X2"/>
    <mergeCell ref="B1:M1"/>
  </mergeCells>
  <phoneticPr fontId="33" type="noConversion"/>
  <pageMargins left="0.7" right="0.7" top="0.75" bottom="0.75" header="0.3" footer="0.3"/>
  <pageSetup paperSize="9" orientation="portrait" horizontalDpi="4294967292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10BBC2-AD28-40C3-9DDB-E2856547AD20}">
  <dimension ref="B1:P42"/>
  <sheetViews>
    <sheetView topLeftCell="A1048576" workbookViewId="0">
      <selection sqref="A1:XFD1048576"/>
    </sheetView>
  </sheetViews>
  <sheetFormatPr baseColWidth="10" defaultRowHeight="15" zeroHeight="1" x14ac:dyDescent="0.25"/>
  <cols>
    <col min="1" max="1" width="23.42578125" bestFit="1" customWidth="1"/>
    <col min="4" max="4" width="10.140625" bestFit="1" customWidth="1"/>
    <col min="9" max="9" width="6.28515625" customWidth="1"/>
    <col min="10" max="10" width="10.42578125" style="245" bestFit="1" customWidth="1"/>
    <col min="11" max="11" width="8.28515625" customWidth="1"/>
    <col min="12" max="12" width="8.140625" customWidth="1"/>
    <col min="15" max="15" width="12.140625" bestFit="1" customWidth="1"/>
  </cols>
  <sheetData>
    <row r="1" spans="2:16" ht="45" hidden="1" x14ac:dyDescent="0.25">
      <c r="I1" s="245" t="s">
        <v>276</v>
      </c>
      <c r="J1" s="235" t="s">
        <v>274</v>
      </c>
      <c r="K1" s="235" t="s">
        <v>277</v>
      </c>
      <c r="L1" s="235" t="s">
        <v>278</v>
      </c>
      <c r="M1" s="235" t="s">
        <v>279</v>
      </c>
      <c r="N1" s="235" t="s">
        <v>275</v>
      </c>
    </row>
    <row r="2" spans="2:16" ht="12.75" hidden="1" customHeight="1" x14ac:dyDescent="0.25">
      <c r="I2" s="236">
        <v>2008</v>
      </c>
      <c r="J2" s="237">
        <f t="shared" ref="J2:J13" si="0">+J3-1</f>
        <v>-4</v>
      </c>
      <c r="K2">
        <f>((IF(INT(+J2/6)=1,13.5,IF(INT(+J2/6)=2,28.5,IF(INT(+J2/6)=3,45.75,IF(INT(+J2/6)=4,65.25,IF(INT(+J2/6)&gt;4,75.75,0)))))))</f>
        <v>0</v>
      </c>
      <c r="M2">
        <f>((+L2-K2)*12)+((+(+L2-K2)*2)*78%)</f>
        <v>0</v>
      </c>
    </row>
    <row r="3" spans="2:16" ht="12.95" hidden="1" customHeight="1" x14ac:dyDescent="0.25">
      <c r="I3" s="236">
        <v>2009</v>
      </c>
      <c r="J3" s="237">
        <f t="shared" si="0"/>
        <v>-3</v>
      </c>
      <c r="K3">
        <f>((IF(INT(+J3/6)=1,31.5,IF(INT(+J3/6)=2,66.5,IF(INT(+J3/6)=3,106.75,IF(INT(+J3/6)=4,152.25,IF(INT(+J3/6)&gt;4,176.75,0)))))))</f>
        <v>0</v>
      </c>
      <c r="M3">
        <f t="shared" ref="M3:M42" si="1">((+L3-K3)*12)+((+(+L3-K3)*2)*78%)</f>
        <v>0</v>
      </c>
    </row>
    <row r="4" spans="2:16" ht="12.95" hidden="1" customHeight="1" x14ac:dyDescent="0.25">
      <c r="I4" s="236">
        <v>2010</v>
      </c>
      <c r="J4" s="237">
        <f t="shared" si="0"/>
        <v>-2</v>
      </c>
      <c r="K4">
        <f>((IF(INT(+J4/6)=1,54,IF(INT(+J4/6)=2,114,IF(INT(+J4/6)=3,183,IF(INT(+J4/6)=4,261,IF(INT(+J4/6)&gt;4,303,0)))))))</f>
        <v>0</v>
      </c>
      <c r="M4">
        <f t="shared" si="1"/>
        <v>0</v>
      </c>
    </row>
    <row r="5" spans="2:16" ht="12.95" hidden="1" customHeight="1" x14ac:dyDescent="0.25">
      <c r="I5" s="236">
        <v>2011</v>
      </c>
      <c r="J5" s="237">
        <f t="shared" si="0"/>
        <v>-1</v>
      </c>
      <c r="K5">
        <f>((IF(INT(+J5/6)=1,72,IF(INT(+J5/6)=2,152,IF(INT(+J5/6)=3,244,IF(INT(+J5/6)=4,348,IF(INT(+J5/6)&gt;4,404,0)))))))</f>
        <v>0</v>
      </c>
      <c r="M5">
        <f t="shared" si="1"/>
        <v>0</v>
      </c>
    </row>
    <row r="6" spans="2:16" ht="12.95" hidden="1" customHeight="1" x14ac:dyDescent="0.25">
      <c r="I6" s="236">
        <v>2012</v>
      </c>
      <c r="J6" s="237">
        <f t="shared" si="0"/>
        <v>0</v>
      </c>
      <c r="K6">
        <f>((IF(INT(+J6/6)=1,90,IF(INT(+J6/6)=2,190,IF(INT(+J6/6)=3,305,IF(INT(+J6/6)=4,435,IF(INT(+J6/6)&gt;4,505,0)))))))</f>
        <v>0</v>
      </c>
      <c r="M6">
        <f t="shared" si="1"/>
        <v>0</v>
      </c>
    </row>
    <row r="7" spans="2:16" hidden="1" x14ac:dyDescent="0.25">
      <c r="I7" s="236">
        <v>2013</v>
      </c>
      <c r="J7" s="237">
        <f t="shared" si="0"/>
        <v>1</v>
      </c>
      <c r="K7">
        <f>(IF(INT(+J7/6)=1,90,IF(INT(+J7/6)=2,190,IF(INT(+J7/6)=3,305,IF(INT(+J7/6)=4,435,IF(INT(+J7/6)&gt;4,505,0))))))</f>
        <v>0</v>
      </c>
      <c r="M7">
        <f t="shared" si="1"/>
        <v>0</v>
      </c>
    </row>
    <row r="8" spans="2:16" hidden="1" x14ac:dyDescent="0.25">
      <c r="I8" s="236">
        <v>2014</v>
      </c>
      <c r="J8" s="237">
        <f t="shared" si="0"/>
        <v>2</v>
      </c>
      <c r="K8">
        <f t="shared" ref="K8:K42" si="2">(IF(INT(+J8/6)=1,90,IF(INT(+J8/6)=2,190,IF(INT(+J8/6)=3,305,IF(INT(+J8/6)=4,435,IF(INT(+J8/6)&gt;4,505,0))))))</f>
        <v>0</v>
      </c>
      <c r="M8">
        <f t="shared" si="1"/>
        <v>0</v>
      </c>
    </row>
    <row r="9" spans="2:16" hidden="1" x14ac:dyDescent="0.25">
      <c r="I9" s="236">
        <v>2015</v>
      </c>
      <c r="J9" s="237">
        <f t="shared" si="0"/>
        <v>3</v>
      </c>
      <c r="K9">
        <f t="shared" si="2"/>
        <v>0</v>
      </c>
      <c r="M9">
        <f t="shared" si="1"/>
        <v>0</v>
      </c>
    </row>
    <row r="10" spans="2:16" hidden="1" x14ac:dyDescent="0.25">
      <c r="I10" s="236">
        <v>2016</v>
      </c>
      <c r="J10" s="237">
        <f t="shared" si="0"/>
        <v>4</v>
      </c>
      <c r="K10">
        <f t="shared" si="2"/>
        <v>0</v>
      </c>
      <c r="M10">
        <f t="shared" si="1"/>
        <v>0</v>
      </c>
    </row>
    <row r="11" spans="2:16" hidden="1" x14ac:dyDescent="0.25">
      <c r="C11">
        <v>2008</v>
      </c>
      <c r="D11">
        <v>2009</v>
      </c>
      <c r="E11">
        <v>2010</v>
      </c>
      <c r="F11">
        <v>2011</v>
      </c>
      <c r="G11">
        <v>2012</v>
      </c>
      <c r="I11" s="236">
        <v>2017</v>
      </c>
      <c r="J11" s="237">
        <f t="shared" si="0"/>
        <v>5</v>
      </c>
      <c r="K11">
        <f t="shared" si="2"/>
        <v>0</v>
      </c>
      <c r="M11">
        <f t="shared" si="1"/>
        <v>0</v>
      </c>
    </row>
    <row r="12" spans="2:16" hidden="1" x14ac:dyDescent="0.25">
      <c r="C12" s="238">
        <v>0.15</v>
      </c>
      <c r="D12" s="238">
        <v>0.35</v>
      </c>
      <c r="E12" s="238">
        <v>0.6</v>
      </c>
      <c r="F12" s="238">
        <v>0.8</v>
      </c>
      <c r="G12" s="238">
        <v>1</v>
      </c>
      <c r="I12" s="236">
        <v>2018</v>
      </c>
      <c r="J12" s="237">
        <f t="shared" si="0"/>
        <v>6</v>
      </c>
      <c r="K12">
        <f t="shared" si="2"/>
        <v>90</v>
      </c>
      <c r="L12">
        <f>(IF(INT(+J12/6)=1,30.25,IF(INT(+J12/6)=2,37.93,IF(INT(+J12/6)=3,52.33,IF(INT(+J12/6)=4,70.33,IF(INT(+J12/6)&gt;4,87.83,0))))))</f>
        <v>30.25</v>
      </c>
      <c r="M12">
        <f t="shared" si="1"/>
        <v>-810.21</v>
      </c>
    </row>
    <row r="13" spans="2:16" hidden="1" x14ac:dyDescent="0.25">
      <c r="B13" s="239">
        <v>90</v>
      </c>
      <c r="C13" s="236">
        <v>13.5</v>
      </c>
      <c r="D13" s="236">
        <v>31.499999999999996</v>
      </c>
      <c r="E13" s="236">
        <v>54</v>
      </c>
      <c r="F13" s="236">
        <v>72</v>
      </c>
      <c r="G13" s="236">
        <v>90</v>
      </c>
      <c r="I13" s="236">
        <v>2019</v>
      </c>
      <c r="J13" s="237">
        <f t="shared" si="0"/>
        <v>7</v>
      </c>
      <c r="K13">
        <f t="shared" si="2"/>
        <v>90</v>
      </c>
      <c r="L13">
        <f>(IF(INT(+J13/6)=1,55,IF(INT(+J13/6)=2,87,IF(INT(+J13/6)=3,99,IF(INT(+J13/6)=4,118.8,IF(INT(+J13/6)&gt;4,188.8,0))))))</f>
        <v>55</v>
      </c>
      <c r="M13">
        <f t="shared" si="1"/>
        <v>-474.6</v>
      </c>
    </row>
    <row r="14" spans="2:16" hidden="1" x14ac:dyDescent="0.25">
      <c r="B14" s="239">
        <v>190</v>
      </c>
      <c r="C14" s="236">
        <v>28.5</v>
      </c>
      <c r="D14" s="236">
        <v>66.5</v>
      </c>
      <c r="E14" s="236">
        <v>114</v>
      </c>
      <c r="F14" s="236">
        <v>152</v>
      </c>
      <c r="G14" s="236">
        <v>190</v>
      </c>
      <c r="I14" s="236">
        <v>2020</v>
      </c>
      <c r="J14" s="237">
        <f>+J15-1</f>
        <v>8</v>
      </c>
      <c r="K14">
        <f t="shared" si="2"/>
        <v>90</v>
      </c>
      <c r="L14">
        <f>(IF(INT(+J14/6)=1,55,IF(INT(+J14/6)=2,119,IF(INT(+J14/6)=3,203,IF(INT(+J14/6)=4,248,IF(INT(+J14/6)&gt;4,318,0))))))</f>
        <v>55</v>
      </c>
      <c r="M14">
        <f t="shared" si="1"/>
        <v>-474.6</v>
      </c>
      <c r="N14" s="240"/>
    </row>
    <row r="15" spans="2:16" hidden="1" x14ac:dyDescent="0.25">
      <c r="B15" s="239">
        <v>305</v>
      </c>
      <c r="C15" s="236">
        <v>45.75</v>
      </c>
      <c r="D15" s="236">
        <v>106.75</v>
      </c>
      <c r="E15" s="236">
        <v>183</v>
      </c>
      <c r="F15" s="236">
        <v>244</v>
      </c>
      <c r="G15" s="236">
        <v>305</v>
      </c>
      <c r="I15" s="241">
        <v>2021</v>
      </c>
      <c r="J15" s="242">
        <f>+Nómina!D10</f>
        <v>9</v>
      </c>
      <c r="K15">
        <f t="shared" si="2"/>
        <v>90</v>
      </c>
      <c r="L15">
        <f>(IF(INT(+J15/6)=1,55,IF(INT(+J15/6)=2,119,IF(INT(+J15/6)=3,239,IF(INT(+J15/6)=4,383,IF(INT(+J15/6)&gt;4,453,0))))))</f>
        <v>55</v>
      </c>
      <c r="M15">
        <f t="shared" si="1"/>
        <v>-474.6</v>
      </c>
      <c r="N15" s="243">
        <f>-SUM(M2:M15)</f>
        <v>2234.0099999999998</v>
      </c>
      <c r="O15" t="s">
        <v>280</v>
      </c>
    </row>
    <row r="16" spans="2:16" hidden="1" x14ac:dyDescent="0.25">
      <c r="B16" s="239">
        <v>435</v>
      </c>
      <c r="C16" s="236">
        <v>65.25</v>
      </c>
      <c r="D16" s="236">
        <v>152.25</v>
      </c>
      <c r="E16" s="236">
        <v>261</v>
      </c>
      <c r="F16" s="236">
        <v>348</v>
      </c>
      <c r="G16" s="236">
        <v>435</v>
      </c>
      <c r="I16" s="236">
        <v>2022</v>
      </c>
      <c r="J16" s="237">
        <f>+J15+1</f>
        <v>10</v>
      </c>
      <c r="K16">
        <f t="shared" si="2"/>
        <v>90</v>
      </c>
      <c r="L16">
        <f>(IF(INT(+J16/6)=1,55,IF(INT(+J16/6)=2,119,IF(INT(+J16/6)=3,239,IF(INT(+J16/6)=4,419,IF(INT(+J16/6)&gt;4,489,0))))))</f>
        <v>55</v>
      </c>
      <c r="M16">
        <f t="shared" si="1"/>
        <v>-474.6</v>
      </c>
      <c r="N16" s="240"/>
      <c r="O16" s="243">
        <f>N15-(+N15*'IRPF año completo'!B35)</f>
        <v>1807.2038563183567</v>
      </c>
      <c r="P16" t="s">
        <v>281</v>
      </c>
    </row>
    <row r="17" spans="2:16" hidden="1" x14ac:dyDescent="0.25">
      <c r="B17" s="239">
        <v>505</v>
      </c>
      <c r="C17" s="236">
        <v>75.75</v>
      </c>
      <c r="D17" s="236">
        <v>176.75</v>
      </c>
      <c r="E17" s="236">
        <v>303</v>
      </c>
      <c r="F17" s="236">
        <v>404</v>
      </c>
      <c r="G17" s="236">
        <v>505</v>
      </c>
      <c r="I17" s="236">
        <v>2023</v>
      </c>
      <c r="J17" s="237">
        <f t="shared" ref="J17:J42" si="3">+J16+1</f>
        <v>11</v>
      </c>
      <c r="K17">
        <f t="shared" si="2"/>
        <v>90</v>
      </c>
      <c r="L17">
        <f t="shared" ref="L17:L42" si="4">(IF(INT(+J17/6)=1,55,IF(INT(+J17/6)=2,119,IF(INT(+J17/6)=3,239,IF(INT(+J17/6)=4,419,IF(INT(+J17/6)&gt;4,489,0))))))</f>
        <v>55</v>
      </c>
      <c r="M17">
        <f t="shared" si="1"/>
        <v>-474.6</v>
      </c>
      <c r="N17" s="240"/>
      <c r="O17" s="251">
        <f>+Nóminab!D59</f>
        <v>38569.24</v>
      </c>
      <c r="P17" t="s">
        <v>193</v>
      </c>
    </row>
    <row r="18" spans="2:16" hidden="1" x14ac:dyDescent="0.25">
      <c r="I18" s="236">
        <v>2024</v>
      </c>
      <c r="J18" s="237">
        <f t="shared" si="3"/>
        <v>12</v>
      </c>
      <c r="K18">
        <f t="shared" si="2"/>
        <v>190</v>
      </c>
      <c r="L18">
        <f t="shared" si="4"/>
        <v>119</v>
      </c>
      <c r="M18">
        <f t="shared" si="1"/>
        <v>-962.76</v>
      </c>
      <c r="O18" s="252">
        <f>+N15/O17</f>
        <v>5.7922064318612444E-2</v>
      </c>
    </row>
    <row r="19" spans="2:16" hidden="1" x14ac:dyDescent="0.25">
      <c r="C19" s="244">
        <v>2018</v>
      </c>
      <c r="D19" s="244">
        <v>2019</v>
      </c>
      <c r="E19" s="244">
        <v>2020</v>
      </c>
      <c r="F19" s="244">
        <v>2021</v>
      </c>
      <c r="G19" s="244">
        <v>2022</v>
      </c>
      <c r="I19" s="236">
        <v>2025</v>
      </c>
      <c r="J19" s="237">
        <f t="shared" si="3"/>
        <v>13</v>
      </c>
      <c r="K19">
        <f t="shared" si="2"/>
        <v>190</v>
      </c>
      <c r="L19">
        <f t="shared" si="4"/>
        <v>119</v>
      </c>
      <c r="M19">
        <f t="shared" si="1"/>
        <v>-962.76</v>
      </c>
    </row>
    <row r="20" spans="2:16" hidden="1" x14ac:dyDescent="0.25">
      <c r="B20" s="239">
        <v>55</v>
      </c>
      <c r="C20" s="236">
        <v>30.25</v>
      </c>
      <c r="D20" s="236">
        <v>55</v>
      </c>
      <c r="E20" s="236">
        <v>55</v>
      </c>
      <c r="F20" s="236">
        <v>55</v>
      </c>
      <c r="G20" s="236">
        <v>55</v>
      </c>
      <c r="I20" s="236">
        <v>2026</v>
      </c>
      <c r="J20" s="237">
        <f t="shared" si="3"/>
        <v>14</v>
      </c>
      <c r="K20">
        <f t="shared" si="2"/>
        <v>190</v>
      </c>
      <c r="L20">
        <f t="shared" si="4"/>
        <v>119</v>
      </c>
      <c r="M20">
        <f t="shared" si="1"/>
        <v>-962.76</v>
      </c>
    </row>
    <row r="21" spans="2:16" hidden="1" x14ac:dyDescent="0.25">
      <c r="B21" s="239">
        <v>119</v>
      </c>
      <c r="C21" s="236">
        <v>37.93</v>
      </c>
      <c r="D21" s="236">
        <v>87</v>
      </c>
      <c r="E21" s="236">
        <v>119</v>
      </c>
      <c r="F21" s="236">
        <v>119</v>
      </c>
      <c r="G21" s="236">
        <v>119</v>
      </c>
      <c r="I21" s="236">
        <v>2027</v>
      </c>
      <c r="J21" s="237">
        <f t="shared" si="3"/>
        <v>15</v>
      </c>
      <c r="K21">
        <f t="shared" si="2"/>
        <v>190</v>
      </c>
      <c r="L21">
        <f t="shared" si="4"/>
        <v>119</v>
      </c>
      <c r="M21">
        <f t="shared" si="1"/>
        <v>-962.76</v>
      </c>
    </row>
    <row r="22" spans="2:16" hidden="1" x14ac:dyDescent="0.25">
      <c r="B22" s="239">
        <v>239</v>
      </c>
      <c r="C22" s="236">
        <v>52.33</v>
      </c>
      <c r="D22" s="236">
        <v>99</v>
      </c>
      <c r="E22" s="236">
        <v>203</v>
      </c>
      <c r="F22" s="236">
        <v>239</v>
      </c>
      <c r="G22" s="236">
        <v>239</v>
      </c>
      <c r="I22" s="236">
        <v>2028</v>
      </c>
      <c r="J22" s="237">
        <f t="shared" si="3"/>
        <v>16</v>
      </c>
      <c r="K22">
        <f t="shared" si="2"/>
        <v>190</v>
      </c>
      <c r="L22">
        <f t="shared" si="4"/>
        <v>119</v>
      </c>
      <c r="M22">
        <f t="shared" si="1"/>
        <v>-962.76</v>
      </c>
    </row>
    <row r="23" spans="2:16" hidden="1" x14ac:dyDescent="0.25">
      <c r="B23" s="239">
        <v>419</v>
      </c>
      <c r="C23" s="236">
        <v>70.33</v>
      </c>
      <c r="D23" s="236">
        <v>118.8</v>
      </c>
      <c r="E23" s="236">
        <v>248</v>
      </c>
      <c r="F23" s="236">
        <v>383</v>
      </c>
      <c r="G23" s="236">
        <v>419</v>
      </c>
      <c r="I23" s="236">
        <v>2029</v>
      </c>
      <c r="J23" s="237">
        <f t="shared" si="3"/>
        <v>17</v>
      </c>
      <c r="K23">
        <f t="shared" si="2"/>
        <v>190</v>
      </c>
      <c r="L23">
        <f t="shared" si="4"/>
        <v>119</v>
      </c>
      <c r="M23">
        <f t="shared" si="1"/>
        <v>-962.76</v>
      </c>
    </row>
    <row r="24" spans="2:16" hidden="1" x14ac:dyDescent="0.25">
      <c r="B24" s="239">
        <v>489</v>
      </c>
      <c r="C24" s="236">
        <v>87.83</v>
      </c>
      <c r="D24" s="236">
        <v>188.8</v>
      </c>
      <c r="E24" s="236">
        <v>318</v>
      </c>
      <c r="F24" s="236">
        <v>453</v>
      </c>
      <c r="G24" s="236">
        <v>489</v>
      </c>
      <c r="I24" s="236">
        <v>2030</v>
      </c>
      <c r="J24" s="237">
        <f t="shared" si="3"/>
        <v>18</v>
      </c>
      <c r="K24">
        <f t="shared" si="2"/>
        <v>305</v>
      </c>
      <c r="L24">
        <f t="shared" si="4"/>
        <v>239</v>
      </c>
      <c r="M24">
        <f t="shared" si="1"/>
        <v>-894.96</v>
      </c>
    </row>
    <row r="25" spans="2:16" hidden="1" x14ac:dyDescent="0.25">
      <c r="I25" s="236">
        <v>2031</v>
      </c>
      <c r="J25" s="237">
        <f t="shared" si="3"/>
        <v>19</v>
      </c>
      <c r="K25">
        <f t="shared" si="2"/>
        <v>305</v>
      </c>
      <c r="L25">
        <f t="shared" si="4"/>
        <v>239</v>
      </c>
      <c r="M25">
        <f t="shared" si="1"/>
        <v>-894.96</v>
      </c>
    </row>
    <row r="26" spans="2:16" hidden="1" x14ac:dyDescent="0.25">
      <c r="I26" s="236">
        <v>2032</v>
      </c>
      <c r="J26" s="237">
        <f t="shared" si="3"/>
        <v>20</v>
      </c>
      <c r="K26">
        <f t="shared" si="2"/>
        <v>305</v>
      </c>
      <c r="L26">
        <f t="shared" si="4"/>
        <v>239</v>
      </c>
      <c r="M26">
        <f t="shared" si="1"/>
        <v>-894.96</v>
      </c>
    </row>
    <row r="27" spans="2:16" hidden="1" x14ac:dyDescent="0.25">
      <c r="I27" s="236">
        <v>2033</v>
      </c>
      <c r="J27" s="237">
        <f t="shared" si="3"/>
        <v>21</v>
      </c>
      <c r="K27">
        <f t="shared" si="2"/>
        <v>305</v>
      </c>
      <c r="L27">
        <f t="shared" si="4"/>
        <v>239</v>
      </c>
      <c r="M27">
        <f t="shared" si="1"/>
        <v>-894.96</v>
      </c>
    </row>
    <row r="28" spans="2:16" hidden="1" x14ac:dyDescent="0.25">
      <c r="I28" s="236">
        <v>2034</v>
      </c>
      <c r="J28" s="237">
        <f t="shared" si="3"/>
        <v>22</v>
      </c>
      <c r="K28">
        <f t="shared" si="2"/>
        <v>305</v>
      </c>
      <c r="L28">
        <f t="shared" si="4"/>
        <v>239</v>
      </c>
      <c r="M28">
        <f t="shared" si="1"/>
        <v>-894.96</v>
      </c>
    </row>
    <row r="29" spans="2:16" hidden="1" x14ac:dyDescent="0.25">
      <c r="I29" s="236">
        <v>2035</v>
      </c>
      <c r="J29" s="237">
        <f t="shared" si="3"/>
        <v>23</v>
      </c>
      <c r="K29">
        <f t="shared" si="2"/>
        <v>305</v>
      </c>
      <c r="L29">
        <f t="shared" si="4"/>
        <v>239</v>
      </c>
      <c r="M29">
        <f t="shared" si="1"/>
        <v>-894.96</v>
      </c>
    </row>
    <row r="30" spans="2:16" hidden="1" x14ac:dyDescent="0.25">
      <c r="I30" s="236">
        <v>2036</v>
      </c>
      <c r="J30" s="237">
        <f t="shared" si="3"/>
        <v>24</v>
      </c>
      <c r="K30">
        <f t="shared" si="2"/>
        <v>435</v>
      </c>
      <c r="L30">
        <f t="shared" si="4"/>
        <v>419</v>
      </c>
      <c r="M30">
        <f t="shared" si="1"/>
        <v>-216.96</v>
      </c>
    </row>
    <row r="31" spans="2:16" hidden="1" x14ac:dyDescent="0.25">
      <c r="I31" s="236">
        <v>2037</v>
      </c>
      <c r="J31" s="237">
        <f t="shared" si="3"/>
        <v>25</v>
      </c>
      <c r="K31">
        <f t="shared" si="2"/>
        <v>435</v>
      </c>
      <c r="L31">
        <f t="shared" si="4"/>
        <v>419</v>
      </c>
      <c r="M31">
        <f t="shared" si="1"/>
        <v>-216.96</v>
      </c>
    </row>
    <row r="32" spans="2:16" hidden="1" x14ac:dyDescent="0.25">
      <c r="I32" s="236">
        <v>2038</v>
      </c>
      <c r="J32" s="237">
        <f t="shared" si="3"/>
        <v>26</v>
      </c>
      <c r="K32">
        <f t="shared" si="2"/>
        <v>435</v>
      </c>
      <c r="L32">
        <f t="shared" si="4"/>
        <v>419</v>
      </c>
      <c r="M32">
        <f t="shared" si="1"/>
        <v>-216.96</v>
      </c>
    </row>
    <row r="33" spans="9:13" hidden="1" x14ac:dyDescent="0.25">
      <c r="I33" s="236">
        <v>2039</v>
      </c>
      <c r="J33" s="237">
        <f t="shared" si="3"/>
        <v>27</v>
      </c>
      <c r="K33">
        <f t="shared" si="2"/>
        <v>435</v>
      </c>
      <c r="L33">
        <f t="shared" si="4"/>
        <v>419</v>
      </c>
      <c r="M33">
        <f t="shared" si="1"/>
        <v>-216.96</v>
      </c>
    </row>
    <row r="34" spans="9:13" hidden="1" x14ac:dyDescent="0.25">
      <c r="I34" s="236">
        <v>2040</v>
      </c>
      <c r="J34" s="237">
        <f t="shared" si="3"/>
        <v>28</v>
      </c>
      <c r="K34">
        <f t="shared" si="2"/>
        <v>435</v>
      </c>
      <c r="L34">
        <f t="shared" si="4"/>
        <v>419</v>
      </c>
      <c r="M34">
        <f t="shared" si="1"/>
        <v>-216.96</v>
      </c>
    </row>
    <row r="35" spans="9:13" hidden="1" x14ac:dyDescent="0.25">
      <c r="I35" s="236">
        <v>2041</v>
      </c>
      <c r="J35" s="237">
        <f t="shared" si="3"/>
        <v>29</v>
      </c>
      <c r="K35">
        <f t="shared" si="2"/>
        <v>435</v>
      </c>
      <c r="L35">
        <f t="shared" si="4"/>
        <v>419</v>
      </c>
      <c r="M35">
        <f t="shared" si="1"/>
        <v>-216.96</v>
      </c>
    </row>
    <row r="36" spans="9:13" hidden="1" x14ac:dyDescent="0.25">
      <c r="I36" s="236">
        <v>2042</v>
      </c>
      <c r="J36" s="237">
        <f t="shared" si="3"/>
        <v>30</v>
      </c>
      <c r="K36">
        <f t="shared" si="2"/>
        <v>505</v>
      </c>
      <c r="L36">
        <f t="shared" si="4"/>
        <v>489</v>
      </c>
      <c r="M36">
        <f t="shared" si="1"/>
        <v>-216.96</v>
      </c>
    </row>
    <row r="37" spans="9:13" hidden="1" x14ac:dyDescent="0.25">
      <c r="I37" s="236">
        <v>2043</v>
      </c>
      <c r="J37" s="237">
        <f t="shared" si="3"/>
        <v>31</v>
      </c>
      <c r="K37">
        <f t="shared" si="2"/>
        <v>505</v>
      </c>
      <c r="L37">
        <f t="shared" si="4"/>
        <v>489</v>
      </c>
      <c r="M37">
        <f t="shared" si="1"/>
        <v>-216.96</v>
      </c>
    </row>
    <row r="38" spans="9:13" hidden="1" x14ac:dyDescent="0.25">
      <c r="I38" s="236">
        <v>2044</v>
      </c>
      <c r="J38" s="237">
        <f t="shared" si="3"/>
        <v>32</v>
      </c>
      <c r="K38">
        <f t="shared" si="2"/>
        <v>505</v>
      </c>
      <c r="L38">
        <f t="shared" si="4"/>
        <v>489</v>
      </c>
      <c r="M38">
        <f t="shared" si="1"/>
        <v>-216.96</v>
      </c>
    </row>
    <row r="39" spans="9:13" hidden="1" x14ac:dyDescent="0.25">
      <c r="I39" s="236">
        <v>2045</v>
      </c>
      <c r="J39" s="237">
        <f t="shared" si="3"/>
        <v>33</v>
      </c>
      <c r="K39">
        <f t="shared" si="2"/>
        <v>505</v>
      </c>
      <c r="L39">
        <f t="shared" si="4"/>
        <v>489</v>
      </c>
      <c r="M39">
        <f t="shared" si="1"/>
        <v>-216.96</v>
      </c>
    </row>
    <row r="40" spans="9:13" hidden="1" x14ac:dyDescent="0.25">
      <c r="I40" s="236">
        <v>2046</v>
      </c>
      <c r="J40" s="237">
        <f t="shared" si="3"/>
        <v>34</v>
      </c>
      <c r="K40">
        <f t="shared" si="2"/>
        <v>505</v>
      </c>
      <c r="L40">
        <f t="shared" si="4"/>
        <v>489</v>
      </c>
      <c r="M40">
        <f t="shared" si="1"/>
        <v>-216.96</v>
      </c>
    </row>
    <row r="41" spans="9:13" hidden="1" x14ac:dyDescent="0.25">
      <c r="I41" s="236">
        <v>2047</v>
      </c>
      <c r="J41" s="237">
        <f t="shared" si="3"/>
        <v>35</v>
      </c>
      <c r="K41">
        <f t="shared" si="2"/>
        <v>505</v>
      </c>
      <c r="L41">
        <f t="shared" si="4"/>
        <v>489</v>
      </c>
      <c r="M41">
        <f t="shared" si="1"/>
        <v>-216.96</v>
      </c>
    </row>
    <row r="42" spans="9:13" hidden="1" x14ac:dyDescent="0.25">
      <c r="I42" s="236">
        <v>2048</v>
      </c>
      <c r="J42" s="237">
        <f t="shared" si="3"/>
        <v>36</v>
      </c>
      <c r="K42">
        <f t="shared" si="2"/>
        <v>505</v>
      </c>
      <c r="L42">
        <f t="shared" si="4"/>
        <v>489</v>
      </c>
      <c r="M42">
        <f t="shared" si="1"/>
        <v>-216.96</v>
      </c>
    </row>
  </sheetData>
  <sheetProtection algorithmName="SHA-512" hashValue="3Bgt/i1dwhd4YsLj8ttPn0+js6voDhyVmZdumsEIWEmTLgie9LeLkPxhw8seOSk8U0XEpO5LgnWHXajyavbeLw==" saltValue="yyFL+DyrUf3dF3qjLEOWcA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Nómina</vt:lpstr>
      <vt:lpstr>Nomina1dia</vt:lpstr>
      <vt:lpstr>Nóminab</vt:lpstr>
      <vt:lpstr>IRPF año completo</vt:lpstr>
      <vt:lpstr>IRPF meses nombrado</vt:lpstr>
      <vt:lpstr>Retribuciones</vt:lpstr>
      <vt:lpstr>SexeniosPerdidos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JAngel</dc:creator>
  <cp:lastModifiedBy>insucan</cp:lastModifiedBy>
  <cp:lastPrinted>2010-06-03T19:39:34Z</cp:lastPrinted>
  <dcterms:created xsi:type="dcterms:W3CDTF">2010-01-09T16:18:22Z</dcterms:created>
  <dcterms:modified xsi:type="dcterms:W3CDTF">2022-01-05T12:32:31Z</dcterms:modified>
</cp:coreProperties>
</file>