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-60" windowWidth="13470" windowHeight="11640"/>
  </bookViews>
  <sheets>
    <sheet name="Nómina mensual" sheetId="8" r:id="rId1"/>
    <sheet name="Retribuciones" sheetId="11" state="hidden" r:id="rId2"/>
  </sheets>
  <calcPr calcId="125725"/>
</workbook>
</file>

<file path=xl/calcChain.xml><?xml version="1.0" encoding="utf-8"?>
<calcChain xmlns="http://schemas.openxmlformats.org/spreadsheetml/2006/main">
  <c r="B50" i="8"/>
  <c r="J555" i="11"/>
  <c r="K555" s="1"/>
  <c r="L555" s="1"/>
  <c r="M555" s="1"/>
  <c r="N555" s="1"/>
  <c r="J335"/>
  <c r="J230"/>
  <c r="H474"/>
  <c r="I474" s="1"/>
  <c r="H440"/>
  <c r="I440" s="1"/>
  <c r="J440" s="1"/>
  <c r="K440" s="1"/>
  <c r="L440" s="1"/>
  <c r="M440" s="1"/>
  <c r="N440" s="1"/>
  <c r="H439"/>
  <c r="I439" s="1"/>
  <c r="H404"/>
  <c r="J265"/>
  <c r="K265" s="1"/>
  <c r="L265" s="1"/>
  <c r="M265" s="1"/>
  <c r="N265" s="1"/>
  <c r="H265"/>
  <c r="H264"/>
  <c r="I264" s="1"/>
  <c r="J264" s="1"/>
  <c r="J125"/>
  <c r="K125" s="1"/>
  <c r="L125" s="1"/>
  <c r="M125" s="1"/>
  <c r="N125" s="1"/>
  <c r="H125"/>
  <c r="H126"/>
  <c r="I126" s="1"/>
  <c r="J126" s="1"/>
  <c r="K126" s="1"/>
  <c r="L126" s="1"/>
  <c r="M126" s="1"/>
  <c r="N126" s="1"/>
  <c r="H124"/>
  <c r="I124" s="1"/>
  <c r="J89"/>
  <c r="H89"/>
  <c r="H54"/>
  <c r="G488"/>
  <c r="H488" s="1"/>
  <c r="H475"/>
  <c r="I475" s="1"/>
  <c r="J475" s="1"/>
  <c r="K475" s="1"/>
  <c r="L475" s="1"/>
  <c r="J168"/>
  <c r="K168" s="1"/>
  <c r="L168" s="1"/>
  <c r="M168" s="1"/>
  <c r="N168" s="1"/>
  <c r="J169"/>
  <c r="K169" s="1"/>
  <c r="L169" s="1"/>
  <c r="M169" s="1"/>
  <c r="N169" s="1"/>
  <c r="I170"/>
  <c r="J170" s="1"/>
  <c r="K170" s="1"/>
  <c r="L170" s="1"/>
  <c r="M170" s="1"/>
  <c r="N170" s="1"/>
  <c r="I171"/>
  <c r="J171" s="1"/>
  <c r="K171" s="1"/>
  <c r="L171" s="1"/>
  <c r="M171" s="1"/>
  <c r="N171" s="1"/>
  <c r="I172"/>
  <c r="J172" s="1"/>
  <c r="K172" s="1"/>
  <c r="L172" s="1"/>
  <c r="M172" s="1"/>
  <c r="N172" s="1"/>
  <c r="I160"/>
  <c r="J160" s="1"/>
  <c r="K160" s="1"/>
  <c r="L160" s="1"/>
  <c r="M160" s="1"/>
  <c r="N160" s="1"/>
  <c r="I161"/>
  <c r="J161" s="1"/>
  <c r="K161" s="1"/>
  <c r="L161" s="1"/>
  <c r="M161" s="1"/>
  <c r="N161" s="1"/>
  <c r="G163"/>
  <c r="H163" s="1"/>
  <c r="I163" s="1"/>
  <c r="J163" s="1"/>
  <c r="K163" s="1"/>
  <c r="L163" s="1"/>
  <c r="M163" s="1"/>
  <c r="N163" s="1"/>
  <c r="G164"/>
  <c r="H164" s="1"/>
  <c r="I164" s="1"/>
  <c r="J164" s="1"/>
  <c r="K164" s="1"/>
  <c r="L164" s="1"/>
  <c r="M164" s="1"/>
  <c r="N164" s="1"/>
  <c r="G165"/>
  <c r="H165" s="1"/>
  <c r="I165" s="1"/>
  <c r="J165" s="1"/>
  <c r="K165" s="1"/>
  <c r="L165" s="1"/>
  <c r="M165" s="1"/>
  <c r="N165" s="1"/>
  <c r="G166"/>
  <c r="H166" s="1"/>
  <c r="I166" s="1"/>
  <c r="J166" s="1"/>
  <c r="K166" s="1"/>
  <c r="L166" s="1"/>
  <c r="M166" s="1"/>
  <c r="N166" s="1"/>
  <c r="G162"/>
  <c r="H162" s="1"/>
  <c r="I162" s="1"/>
  <c r="J162" s="1"/>
  <c r="K162" s="1"/>
  <c r="L162" s="1"/>
  <c r="M162" s="1"/>
  <c r="N162" s="1"/>
  <c r="J588"/>
  <c r="K588" s="1"/>
  <c r="L588" s="1"/>
  <c r="M588" s="1"/>
  <c r="N588" s="1"/>
  <c r="J581"/>
  <c r="K581" s="1"/>
  <c r="L581" s="1"/>
  <c r="M581" s="1"/>
  <c r="N581" s="1"/>
  <c r="J580"/>
  <c r="K580" s="1"/>
  <c r="L580" s="1"/>
  <c r="M580" s="1"/>
  <c r="N580" s="1"/>
  <c r="J579"/>
  <c r="K579" s="1"/>
  <c r="L579" s="1"/>
  <c r="M579" s="1"/>
  <c r="N579" s="1"/>
  <c r="J578"/>
  <c r="K578" s="1"/>
  <c r="L578" s="1"/>
  <c r="M578" s="1"/>
  <c r="N578" s="1"/>
  <c r="J577"/>
  <c r="K577" s="1"/>
  <c r="L577" s="1"/>
  <c r="M577" s="1"/>
  <c r="N577" s="1"/>
  <c r="J576"/>
  <c r="K576" s="1"/>
  <c r="L576" s="1"/>
  <c r="M576" s="1"/>
  <c r="N576" s="1"/>
  <c r="J575"/>
  <c r="K575" s="1"/>
  <c r="L575" s="1"/>
  <c r="M575" s="1"/>
  <c r="N575" s="1"/>
  <c r="J574"/>
  <c r="K574" s="1"/>
  <c r="L574" s="1"/>
  <c r="M574" s="1"/>
  <c r="N574" s="1"/>
  <c r="J545"/>
  <c r="K545" s="1"/>
  <c r="L545" s="1"/>
  <c r="M545" s="1"/>
  <c r="N545" s="1"/>
  <c r="J552"/>
  <c r="K552" s="1"/>
  <c r="L552" s="1"/>
  <c r="M552" s="1"/>
  <c r="N552" s="1"/>
  <c r="J546"/>
  <c r="K546" s="1"/>
  <c r="L546" s="1"/>
  <c r="M546" s="1"/>
  <c r="N546" s="1"/>
  <c r="J544"/>
  <c r="K544" s="1"/>
  <c r="L544" s="1"/>
  <c r="M544" s="1"/>
  <c r="N544" s="1"/>
  <c r="J543"/>
  <c r="K543" s="1"/>
  <c r="L543" s="1"/>
  <c r="M543" s="1"/>
  <c r="N543" s="1"/>
  <c r="J542"/>
  <c r="K542" s="1"/>
  <c r="L542" s="1"/>
  <c r="M542" s="1"/>
  <c r="N542" s="1"/>
  <c r="J541"/>
  <c r="K541" s="1"/>
  <c r="L541" s="1"/>
  <c r="M541" s="1"/>
  <c r="N541" s="1"/>
  <c r="J540"/>
  <c r="K540" s="1"/>
  <c r="L540" s="1"/>
  <c r="M540" s="1"/>
  <c r="N540" s="1"/>
  <c r="J539"/>
  <c r="K539" s="1"/>
  <c r="L539" s="1"/>
  <c r="M539" s="1"/>
  <c r="N539" s="1"/>
  <c r="J511"/>
  <c r="K511" s="1"/>
  <c r="L511" s="1"/>
  <c r="M511" s="1"/>
  <c r="N511" s="1"/>
  <c r="J509"/>
  <c r="K509" s="1"/>
  <c r="L509" s="1"/>
  <c r="M509" s="1"/>
  <c r="N509" s="1"/>
  <c r="L508"/>
  <c r="M508" s="1"/>
  <c r="N508" s="1"/>
  <c r="J508"/>
  <c r="K508" s="1"/>
  <c r="J507"/>
  <c r="K507" s="1"/>
  <c r="L507" s="1"/>
  <c r="M507" s="1"/>
  <c r="N507" s="1"/>
  <c r="J506"/>
  <c r="K506" s="1"/>
  <c r="L506" s="1"/>
  <c r="M506" s="1"/>
  <c r="N506" s="1"/>
  <c r="J505"/>
  <c r="K505" s="1"/>
  <c r="L505" s="1"/>
  <c r="M505" s="1"/>
  <c r="N505" s="1"/>
  <c r="J504"/>
  <c r="K504" s="1"/>
  <c r="L504" s="1"/>
  <c r="M504" s="1"/>
  <c r="N504" s="1"/>
  <c r="J488"/>
  <c r="K488" s="1"/>
  <c r="L488" s="1"/>
  <c r="J476"/>
  <c r="K476" s="1"/>
  <c r="L476" s="1"/>
  <c r="M476" s="1"/>
  <c r="N476" s="1"/>
  <c r="K473"/>
  <c r="L473" s="1"/>
  <c r="M473" s="1"/>
  <c r="N473" s="1"/>
  <c r="J473"/>
  <c r="J472"/>
  <c r="K472" s="1"/>
  <c r="L472" s="1"/>
  <c r="M472" s="1"/>
  <c r="N472" s="1"/>
  <c r="J471"/>
  <c r="K471" s="1"/>
  <c r="L471" s="1"/>
  <c r="M471" s="1"/>
  <c r="N471" s="1"/>
  <c r="J470"/>
  <c r="K470" s="1"/>
  <c r="L470" s="1"/>
  <c r="M470" s="1"/>
  <c r="N470" s="1"/>
  <c r="J469"/>
  <c r="K469" s="1"/>
  <c r="L469" s="1"/>
  <c r="M469" s="1"/>
  <c r="N469" s="1"/>
  <c r="L447"/>
  <c r="M447" s="1"/>
  <c r="N447" s="1"/>
  <c r="J447"/>
  <c r="K447" s="1"/>
  <c r="J441"/>
  <c r="K441" s="1"/>
  <c r="L441" s="1"/>
  <c r="M441" s="1"/>
  <c r="N441" s="1"/>
  <c r="J438"/>
  <c r="K438" s="1"/>
  <c r="L438" s="1"/>
  <c r="M438" s="1"/>
  <c r="N438" s="1"/>
  <c r="J437"/>
  <c r="K437" s="1"/>
  <c r="L437" s="1"/>
  <c r="M437" s="1"/>
  <c r="N437" s="1"/>
  <c r="J436"/>
  <c r="K436" s="1"/>
  <c r="L436" s="1"/>
  <c r="M436" s="1"/>
  <c r="N436" s="1"/>
  <c r="J435"/>
  <c r="K435" s="1"/>
  <c r="L435" s="1"/>
  <c r="M435" s="1"/>
  <c r="N435" s="1"/>
  <c r="J434"/>
  <c r="K434" s="1"/>
  <c r="L434" s="1"/>
  <c r="M434" s="1"/>
  <c r="N434" s="1"/>
  <c r="J406"/>
  <c r="K406" s="1"/>
  <c r="L406" s="1"/>
  <c r="M406" s="1"/>
  <c r="N406" s="1"/>
  <c r="J403"/>
  <c r="K403" s="1"/>
  <c r="L403" s="1"/>
  <c r="M403" s="1"/>
  <c r="N403" s="1"/>
  <c r="J402"/>
  <c r="K402" s="1"/>
  <c r="L402" s="1"/>
  <c r="M402" s="1"/>
  <c r="N402" s="1"/>
  <c r="J401"/>
  <c r="K401" s="1"/>
  <c r="L401" s="1"/>
  <c r="M401" s="1"/>
  <c r="N401" s="1"/>
  <c r="J400"/>
  <c r="K400" s="1"/>
  <c r="L400" s="1"/>
  <c r="M400" s="1"/>
  <c r="N400" s="1"/>
  <c r="J399"/>
  <c r="K399" s="1"/>
  <c r="L399" s="1"/>
  <c r="M399" s="1"/>
  <c r="N399" s="1"/>
  <c r="J371"/>
  <c r="K371" s="1"/>
  <c r="L371" s="1"/>
  <c r="M371" s="1"/>
  <c r="N371" s="1"/>
  <c r="J369"/>
  <c r="K369" s="1"/>
  <c r="L369" s="1"/>
  <c r="M369" s="1"/>
  <c r="N369" s="1"/>
  <c r="J368"/>
  <c r="K368" s="1"/>
  <c r="L368" s="1"/>
  <c r="M368" s="1"/>
  <c r="N368" s="1"/>
  <c r="J367"/>
  <c r="K367" s="1"/>
  <c r="L367" s="1"/>
  <c r="M367" s="1"/>
  <c r="N367" s="1"/>
  <c r="J366"/>
  <c r="K366" s="1"/>
  <c r="L366" s="1"/>
  <c r="M366" s="1"/>
  <c r="N366" s="1"/>
  <c r="J365"/>
  <c r="K365" s="1"/>
  <c r="L365" s="1"/>
  <c r="M365" s="1"/>
  <c r="N365" s="1"/>
  <c r="J364"/>
  <c r="K364" s="1"/>
  <c r="L364" s="1"/>
  <c r="M364" s="1"/>
  <c r="N364" s="1"/>
  <c r="G347"/>
  <c r="H347" s="1"/>
  <c r="I347" s="1"/>
  <c r="J347" s="1"/>
  <c r="K347" s="1"/>
  <c r="L347" s="1"/>
  <c r="M347" s="1"/>
  <c r="N347" s="1"/>
  <c r="J342"/>
  <c r="K342" s="1"/>
  <c r="L342" s="1"/>
  <c r="M342" s="1"/>
  <c r="N342" s="1"/>
  <c r="J336"/>
  <c r="K336" s="1"/>
  <c r="L336" s="1"/>
  <c r="M336" s="1"/>
  <c r="N336" s="1"/>
  <c r="J334"/>
  <c r="K334" s="1"/>
  <c r="L334" s="1"/>
  <c r="J333"/>
  <c r="K333" s="1"/>
  <c r="L333" s="1"/>
  <c r="M333" s="1"/>
  <c r="N333" s="1"/>
  <c r="J332"/>
  <c r="K332" s="1"/>
  <c r="L332" s="1"/>
  <c r="M332" s="1"/>
  <c r="N332" s="1"/>
  <c r="J331"/>
  <c r="K331" s="1"/>
  <c r="L331" s="1"/>
  <c r="M331" s="1"/>
  <c r="N331" s="1"/>
  <c r="J330"/>
  <c r="K330" s="1"/>
  <c r="L330" s="1"/>
  <c r="M330" s="1"/>
  <c r="N330" s="1"/>
  <c r="J329"/>
  <c r="K329" s="1"/>
  <c r="L329" s="1"/>
  <c r="M329" s="1"/>
  <c r="N329" s="1"/>
  <c r="J301"/>
  <c r="K301" s="1"/>
  <c r="L301" s="1"/>
  <c r="M301" s="1"/>
  <c r="N301" s="1"/>
  <c r="J299"/>
  <c r="K299" s="1"/>
  <c r="L299" s="1"/>
  <c r="M299" s="1"/>
  <c r="N299" s="1"/>
  <c r="J298"/>
  <c r="K298" s="1"/>
  <c r="L298" s="1"/>
  <c r="M298" s="1"/>
  <c r="N298" s="1"/>
  <c r="J297"/>
  <c r="K297" s="1"/>
  <c r="L297" s="1"/>
  <c r="M297" s="1"/>
  <c r="N297" s="1"/>
  <c r="J296"/>
  <c r="K296" s="1"/>
  <c r="L296" s="1"/>
  <c r="M296" s="1"/>
  <c r="N296" s="1"/>
  <c r="J295"/>
  <c r="K295" s="1"/>
  <c r="L295" s="1"/>
  <c r="M295" s="1"/>
  <c r="N295" s="1"/>
  <c r="J294"/>
  <c r="K294" s="1"/>
  <c r="L294" s="1"/>
  <c r="M294" s="1"/>
  <c r="N294" s="1"/>
  <c r="J277"/>
  <c r="K277" s="1"/>
  <c r="L277" s="1"/>
  <c r="M277" s="1"/>
  <c r="N277" s="1"/>
  <c r="J266"/>
  <c r="K266" s="1"/>
  <c r="L266" s="1"/>
  <c r="M266" s="1"/>
  <c r="N266" s="1"/>
  <c r="J263"/>
  <c r="K263" s="1"/>
  <c r="L263" s="1"/>
  <c r="M263" s="1"/>
  <c r="N263" s="1"/>
  <c r="J262"/>
  <c r="K262" s="1"/>
  <c r="L262" s="1"/>
  <c r="M262" s="1"/>
  <c r="N262" s="1"/>
  <c r="J261"/>
  <c r="K261" s="1"/>
  <c r="L261" s="1"/>
  <c r="M261" s="1"/>
  <c r="N261" s="1"/>
  <c r="J260"/>
  <c r="K260" s="1"/>
  <c r="L260" s="1"/>
  <c r="M260" s="1"/>
  <c r="N260" s="1"/>
  <c r="J259"/>
  <c r="K259" s="1"/>
  <c r="L259" s="1"/>
  <c r="M259" s="1"/>
  <c r="N259" s="1"/>
  <c r="J231"/>
  <c r="K231" s="1"/>
  <c r="L231" s="1"/>
  <c r="M231" s="1"/>
  <c r="N231" s="1"/>
  <c r="J229"/>
  <c r="K229" s="1"/>
  <c r="L229" s="1"/>
  <c r="M229" s="1"/>
  <c r="N229" s="1"/>
  <c r="J228"/>
  <c r="K228" s="1"/>
  <c r="L228" s="1"/>
  <c r="M228" s="1"/>
  <c r="N228" s="1"/>
  <c r="J227"/>
  <c r="K227" s="1"/>
  <c r="L227" s="1"/>
  <c r="M227" s="1"/>
  <c r="N227" s="1"/>
  <c r="J226"/>
  <c r="K226" s="1"/>
  <c r="L226" s="1"/>
  <c r="M226" s="1"/>
  <c r="N226" s="1"/>
  <c r="J225"/>
  <c r="K225" s="1"/>
  <c r="L225" s="1"/>
  <c r="M225" s="1"/>
  <c r="N225" s="1"/>
  <c r="J224"/>
  <c r="K224" s="1"/>
  <c r="L224" s="1"/>
  <c r="M224" s="1"/>
  <c r="N224" s="1"/>
  <c r="K190"/>
  <c r="L190" s="1"/>
  <c r="M190" s="1"/>
  <c r="N190" s="1"/>
  <c r="J190"/>
  <c r="J191"/>
  <c r="K191" s="1"/>
  <c r="L191" s="1"/>
  <c r="M191" s="1"/>
  <c r="N191" s="1"/>
  <c r="J192"/>
  <c r="K192" s="1"/>
  <c r="L192" s="1"/>
  <c r="M192" s="1"/>
  <c r="N192" s="1"/>
  <c r="J193"/>
  <c r="K193" s="1"/>
  <c r="L193" s="1"/>
  <c r="M193" s="1"/>
  <c r="N193" s="1"/>
  <c r="J194"/>
  <c r="K194" s="1"/>
  <c r="L194" s="1"/>
  <c r="M194" s="1"/>
  <c r="N194" s="1"/>
  <c r="J196"/>
  <c r="K196" s="1"/>
  <c r="L196" s="1"/>
  <c r="M196" s="1"/>
  <c r="N196" s="1"/>
  <c r="J189"/>
  <c r="K189" s="1"/>
  <c r="L189" s="1"/>
  <c r="M189" s="1"/>
  <c r="N189" s="1"/>
  <c r="J155"/>
  <c r="J156"/>
  <c r="J157"/>
  <c r="J158"/>
  <c r="J159"/>
  <c r="K159" s="1"/>
  <c r="L159" s="1"/>
  <c r="N159" s="1"/>
  <c r="J154"/>
  <c r="J120"/>
  <c r="K120" s="1"/>
  <c r="L120" s="1"/>
  <c r="M120" s="1"/>
  <c r="N120" s="1"/>
  <c r="J121"/>
  <c r="K121" s="1"/>
  <c r="L121" s="1"/>
  <c r="M121" s="1"/>
  <c r="N121" s="1"/>
  <c r="J122"/>
  <c r="K122" s="1"/>
  <c r="L122" s="1"/>
  <c r="M122" s="1"/>
  <c r="N122" s="1"/>
  <c r="J123"/>
  <c r="K123" s="1"/>
  <c r="L123" s="1"/>
  <c r="M123" s="1"/>
  <c r="N123" s="1"/>
  <c r="J119"/>
  <c r="K119" s="1"/>
  <c r="L119" s="1"/>
  <c r="M119" s="1"/>
  <c r="N119" s="1"/>
  <c r="J85"/>
  <c r="K85" s="1"/>
  <c r="L85" s="1"/>
  <c r="M85" s="1"/>
  <c r="N85" s="1"/>
  <c r="J86"/>
  <c r="K86" s="1"/>
  <c r="L86" s="1"/>
  <c r="M86" s="1"/>
  <c r="N86" s="1"/>
  <c r="J87"/>
  <c r="K87" s="1"/>
  <c r="L87" s="1"/>
  <c r="M87" s="1"/>
  <c r="N87" s="1"/>
  <c r="J88"/>
  <c r="K88" s="1"/>
  <c r="L88" s="1"/>
  <c r="M88" s="1"/>
  <c r="N88" s="1"/>
  <c r="J84"/>
  <c r="K84" s="1"/>
  <c r="L84" s="1"/>
  <c r="M84" s="1"/>
  <c r="N84" s="1"/>
  <c r="J50"/>
  <c r="K50" s="1"/>
  <c r="L50" s="1"/>
  <c r="M50" s="1"/>
  <c r="N50" s="1"/>
  <c r="J51"/>
  <c r="K51" s="1"/>
  <c r="L51" s="1"/>
  <c r="M51" s="1"/>
  <c r="N51" s="1"/>
  <c r="J52"/>
  <c r="K52" s="1"/>
  <c r="L52" s="1"/>
  <c r="M52" s="1"/>
  <c r="N52" s="1"/>
  <c r="J53"/>
  <c r="K53" s="1"/>
  <c r="L53" s="1"/>
  <c r="J49"/>
  <c r="K49" s="1"/>
  <c r="L49" s="1"/>
  <c r="M49" s="1"/>
  <c r="N49" s="1"/>
  <c r="H161"/>
  <c r="F161"/>
  <c r="G161"/>
  <c r="I610"/>
  <c r="G611"/>
  <c r="H611" s="1"/>
  <c r="G612"/>
  <c r="H612" s="1"/>
  <c r="G613"/>
  <c r="H613" s="1"/>
  <c r="H614"/>
  <c r="G609"/>
  <c r="H609" s="1"/>
  <c r="F610"/>
  <c r="G610" s="1"/>
  <c r="H610" s="1"/>
  <c r="AI74" i="8"/>
  <c r="AJ74" s="1"/>
  <c r="AK74" s="1"/>
  <c r="AL74" s="1"/>
  <c r="AM74" s="1"/>
  <c r="AN74" s="1"/>
  <c r="AO74" s="1"/>
  <c r="AP74" s="1"/>
  <c r="AQ74" s="1"/>
  <c r="AR74" s="1"/>
  <c r="AS74" s="1"/>
  <c r="AT74" s="1"/>
  <c r="C3" i="11"/>
  <c r="F626" s="1"/>
  <c r="C25" i="8"/>
  <c r="B41"/>
  <c r="B40"/>
  <c r="B29"/>
  <c r="B25"/>
  <c r="B30"/>
  <c r="AA104"/>
  <c r="C2" i="11"/>
  <c r="C4"/>
  <c r="C5"/>
  <c r="C6"/>
  <c r="C7"/>
  <c r="C1"/>
  <c r="C11" s="1"/>
  <c r="C361" s="1"/>
  <c r="AM76" i="8" s="1"/>
  <c r="E13" i="11"/>
  <c r="B13" s="1"/>
  <c r="F162"/>
  <c r="F166"/>
  <c r="F165"/>
  <c r="F164"/>
  <c r="F163"/>
  <c r="G587"/>
  <c r="H587" s="1"/>
  <c r="I587" s="1"/>
  <c r="J587" s="1"/>
  <c r="K587" s="1"/>
  <c r="L587" s="1"/>
  <c r="M587" s="1"/>
  <c r="N587" s="1"/>
  <c r="G586"/>
  <c r="H586" s="1"/>
  <c r="I586" s="1"/>
  <c r="J586" s="1"/>
  <c r="K586" s="1"/>
  <c r="L586" s="1"/>
  <c r="M586" s="1"/>
  <c r="N586" s="1"/>
  <c r="G585"/>
  <c r="H585" s="1"/>
  <c r="I585" s="1"/>
  <c r="J585" s="1"/>
  <c r="K585" s="1"/>
  <c r="L585" s="1"/>
  <c r="M585" s="1"/>
  <c r="N585" s="1"/>
  <c r="G584"/>
  <c r="H584" s="1"/>
  <c r="I584" s="1"/>
  <c r="J584" s="1"/>
  <c r="K584" s="1"/>
  <c r="L584" s="1"/>
  <c r="M584" s="1"/>
  <c r="N584" s="1"/>
  <c r="G583"/>
  <c r="H583" s="1"/>
  <c r="I583" s="1"/>
  <c r="J583" s="1"/>
  <c r="K583" s="1"/>
  <c r="L583" s="1"/>
  <c r="M583" s="1"/>
  <c r="N583" s="1"/>
  <c r="G582"/>
  <c r="H582" s="1"/>
  <c r="I582" s="1"/>
  <c r="J582" s="1"/>
  <c r="K582" s="1"/>
  <c r="L582" s="1"/>
  <c r="M582" s="1"/>
  <c r="N582" s="1"/>
  <c r="B573"/>
  <c r="C570"/>
  <c r="AS75" i="8" s="1"/>
  <c r="B608" i="11"/>
  <c r="C605"/>
  <c r="AT75" i="8" s="1"/>
  <c r="G552" i="11"/>
  <c r="H552" s="1"/>
  <c r="G551"/>
  <c r="H551" s="1"/>
  <c r="I551" s="1"/>
  <c r="J551" s="1"/>
  <c r="K551" s="1"/>
  <c r="L551" s="1"/>
  <c r="M551" s="1"/>
  <c r="N551" s="1"/>
  <c r="G550"/>
  <c r="H550" s="1"/>
  <c r="I550" s="1"/>
  <c r="J550" s="1"/>
  <c r="K550" s="1"/>
  <c r="L550" s="1"/>
  <c r="M550" s="1"/>
  <c r="N550" s="1"/>
  <c r="G549"/>
  <c r="H549" s="1"/>
  <c r="I549" s="1"/>
  <c r="J549" s="1"/>
  <c r="K549" s="1"/>
  <c r="L549" s="1"/>
  <c r="M549" s="1"/>
  <c r="N549" s="1"/>
  <c r="G548"/>
  <c r="H548" s="1"/>
  <c r="I548" s="1"/>
  <c r="J548" s="1"/>
  <c r="K548" s="1"/>
  <c r="L548" s="1"/>
  <c r="M548" s="1"/>
  <c r="N548" s="1"/>
  <c r="G547"/>
  <c r="H547" s="1"/>
  <c r="I547" s="1"/>
  <c r="J547" s="1"/>
  <c r="K547" s="1"/>
  <c r="L547" s="1"/>
  <c r="M547" s="1"/>
  <c r="N547" s="1"/>
  <c r="B538"/>
  <c r="C535"/>
  <c r="AR75" i="8" s="1"/>
  <c r="G517" i="11"/>
  <c r="H517" s="1"/>
  <c r="I517" s="1"/>
  <c r="J517" s="1"/>
  <c r="K517" s="1"/>
  <c r="L517" s="1"/>
  <c r="M517" s="1"/>
  <c r="N517" s="1"/>
  <c r="G516"/>
  <c r="H516" s="1"/>
  <c r="I516" s="1"/>
  <c r="J516" s="1"/>
  <c r="K516" s="1"/>
  <c r="L516" s="1"/>
  <c r="M516" s="1"/>
  <c r="N516" s="1"/>
  <c r="G515"/>
  <c r="H515" s="1"/>
  <c r="I515" s="1"/>
  <c r="J515" s="1"/>
  <c r="K515" s="1"/>
  <c r="L515" s="1"/>
  <c r="M515" s="1"/>
  <c r="N515" s="1"/>
  <c r="G514"/>
  <c r="H514" s="1"/>
  <c r="I514" s="1"/>
  <c r="J514" s="1"/>
  <c r="K514" s="1"/>
  <c r="L514" s="1"/>
  <c r="M514" s="1"/>
  <c r="N514" s="1"/>
  <c r="G513"/>
  <c r="H513" s="1"/>
  <c r="I513" s="1"/>
  <c r="J513" s="1"/>
  <c r="K513" s="1"/>
  <c r="L513" s="1"/>
  <c r="M513" s="1"/>
  <c r="N513" s="1"/>
  <c r="G512"/>
  <c r="H512" s="1"/>
  <c r="I512" s="1"/>
  <c r="J512" s="1"/>
  <c r="K512" s="1"/>
  <c r="L512" s="1"/>
  <c r="M512" s="1"/>
  <c r="N512" s="1"/>
  <c r="B503"/>
  <c r="C500"/>
  <c r="AQ75" i="8" s="1"/>
  <c r="G482" i="11"/>
  <c r="H482" s="1"/>
  <c r="I482" s="1"/>
  <c r="J482" s="1"/>
  <c r="K482" s="1"/>
  <c r="L482" s="1"/>
  <c r="M482" s="1"/>
  <c r="N482" s="1"/>
  <c r="G481"/>
  <c r="H481" s="1"/>
  <c r="I481" s="1"/>
  <c r="J481" s="1"/>
  <c r="K481" s="1"/>
  <c r="L481" s="1"/>
  <c r="M481" s="1"/>
  <c r="N481" s="1"/>
  <c r="G480"/>
  <c r="H480" s="1"/>
  <c r="I480" s="1"/>
  <c r="J480" s="1"/>
  <c r="K480" s="1"/>
  <c r="L480" s="1"/>
  <c r="M480" s="1"/>
  <c r="N480" s="1"/>
  <c r="G479"/>
  <c r="H479" s="1"/>
  <c r="I479" s="1"/>
  <c r="J479" s="1"/>
  <c r="K479" s="1"/>
  <c r="L479" s="1"/>
  <c r="M479" s="1"/>
  <c r="N479" s="1"/>
  <c r="G478"/>
  <c r="H478" s="1"/>
  <c r="I478" s="1"/>
  <c r="J478" s="1"/>
  <c r="K478" s="1"/>
  <c r="L478" s="1"/>
  <c r="M478" s="1"/>
  <c r="N478" s="1"/>
  <c r="G477"/>
  <c r="H477" s="1"/>
  <c r="I477" s="1"/>
  <c r="J477" s="1"/>
  <c r="K477" s="1"/>
  <c r="L477" s="1"/>
  <c r="M477" s="1"/>
  <c r="N477" s="1"/>
  <c r="B468"/>
  <c r="C465"/>
  <c r="AP75" i="8" s="1"/>
  <c r="G447" i="11"/>
  <c r="H447" s="1"/>
  <c r="G446"/>
  <c r="H446" s="1"/>
  <c r="I446" s="1"/>
  <c r="J446" s="1"/>
  <c r="K446" s="1"/>
  <c r="L446" s="1"/>
  <c r="M446" s="1"/>
  <c r="N446" s="1"/>
  <c r="G445"/>
  <c r="H445" s="1"/>
  <c r="I445" s="1"/>
  <c r="J445" s="1"/>
  <c r="K445" s="1"/>
  <c r="L445" s="1"/>
  <c r="M445" s="1"/>
  <c r="N445" s="1"/>
  <c r="G444"/>
  <c r="H444" s="1"/>
  <c r="I444" s="1"/>
  <c r="J444" s="1"/>
  <c r="K444" s="1"/>
  <c r="L444" s="1"/>
  <c r="M444" s="1"/>
  <c r="N444" s="1"/>
  <c r="G443"/>
  <c r="H443" s="1"/>
  <c r="I443" s="1"/>
  <c r="J443" s="1"/>
  <c r="K443" s="1"/>
  <c r="L443" s="1"/>
  <c r="M443" s="1"/>
  <c r="N443" s="1"/>
  <c r="G442"/>
  <c r="H442" s="1"/>
  <c r="I442" s="1"/>
  <c r="J442" s="1"/>
  <c r="K442" s="1"/>
  <c r="L442" s="1"/>
  <c r="M442" s="1"/>
  <c r="N442" s="1"/>
  <c r="G412"/>
  <c r="H412" s="1"/>
  <c r="I412" s="1"/>
  <c r="J412" s="1"/>
  <c r="K412" s="1"/>
  <c r="L412" s="1"/>
  <c r="M412" s="1"/>
  <c r="N412" s="1"/>
  <c r="G411"/>
  <c r="H411" s="1"/>
  <c r="I411" s="1"/>
  <c r="J411" s="1"/>
  <c r="K411" s="1"/>
  <c r="L411" s="1"/>
  <c r="M411" s="1"/>
  <c r="N411" s="1"/>
  <c r="G410"/>
  <c r="H410" s="1"/>
  <c r="I410" s="1"/>
  <c r="J410" s="1"/>
  <c r="K410" s="1"/>
  <c r="L410" s="1"/>
  <c r="M410" s="1"/>
  <c r="N410" s="1"/>
  <c r="G409"/>
  <c r="H409" s="1"/>
  <c r="I409" s="1"/>
  <c r="J409" s="1"/>
  <c r="K409" s="1"/>
  <c r="L409" s="1"/>
  <c r="M409" s="1"/>
  <c r="N409" s="1"/>
  <c r="G408"/>
  <c r="H408" s="1"/>
  <c r="I408" s="1"/>
  <c r="J408" s="1"/>
  <c r="K408" s="1"/>
  <c r="L408" s="1"/>
  <c r="M408" s="1"/>
  <c r="N408" s="1"/>
  <c r="G407"/>
  <c r="H407" s="1"/>
  <c r="I407" s="1"/>
  <c r="J407" s="1"/>
  <c r="K407" s="1"/>
  <c r="L407" s="1"/>
  <c r="M407" s="1"/>
  <c r="N407" s="1"/>
  <c r="G377"/>
  <c r="H377" s="1"/>
  <c r="I377" s="1"/>
  <c r="J377" s="1"/>
  <c r="K377" s="1"/>
  <c r="L377" s="1"/>
  <c r="M377" s="1"/>
  <c r="N377" s="1"/>
  <c r="G376"/>
  <c r="H376" s="1"/>
  <c r="I376" s="1"/>
  <c r="J376" s="1"/>
  <c r="K376" s="1"/>
  <c r="L376" s="1"/>
  <c r="M376" s="1"/>
  <c r="N376" s="1"/>
  <c r="G375"/>
  <c r="H375" s="1"/>
  <c r="I375" s="1"/>
  <c r="J375" s="1"/>
  <c r="K375" s="1"/>
  <c r="L375" s="1"/>
  <c r="M375" s="1"/>
  <c r="N375" s="1"/>
  <c r="G374"/>
  <c r="H374" s="1"/>
  <c r="I374" s="1"/>
  <c r="J374" s="1"/>
  <c r="K374" s="1"/>
  <c r="L374" s="1"/>
  <c r="M374" s="1"/>
  <c r="N374" s="1"/>
  <c r="G373"/>
  <c r="H373" s="1"/>
  <c r="I373" s="1"/>
  <c r="J373" s="1"/>
  <c r="K373" s="1"/>
  <c r="L373" s="1"/>
  <c r="M373" s="1"/>
  <c r="N373" s="1"/>
  <c r="G372"/>
  <c r="H372" s="1"/>
  <c r="I372" s="1"/>
  <c r="J372" s="1"/>
  <c r="K372" s="1"/>
  <c r="L372" s="1"/>
  <c r="M372" s="1"/>
  <c r="N372" s="1"/>
  <c r="G341"/>
  <c r="H341" s="1"/>
  <c r="I341" s="1"/>
  <c r="J341" s="1"/>
  <c r="K341" s="1"/>
  <c r="L341" s="1"/>
  <c r="M341" s="1"/>
  <c r="N341" s="1"/>
  <c r="G340"/>
  <c r="H340" s="1"/>
  <c r="I340" s="1"/>
  <c r="J340" s="1"/>
  <c r="K340" s="1"/>
  <c r="L340" s="1"/>
  <c r="M340" s="1"/>
  <c r="N340" s="1"/>
  <c r="G339"/>
  <c r="H339" s="1"/>
  <c r="I339" s="1"/>
  <c r="J339" s="1"/>
  <c r="K339" s="1"/>
  <c r="L339" s="1"/>
  <c r="M339" s="1"/>
  <c r="N339" s="1"/>
  <c r="G338"/>
  <c r="H338" s="1"/>
  <c r="I338" s="1"/>
  <c r="J338" s="1"/>
  <c r="K338" s="1"/>
  <c r="L338" s="1"/>
  <c r="M338" s="1"/>
  <c r="N338" s="1"/>
  <c r="G337"/>
  <c r="H337" s="1"/>
  <c r="I337" s="1"/>
  <c r="J337" s="1"/>
  <c r="K337" s="1"/>
  <c r="L337" s="1"/>
  <c r="M337" s="1"/>
  <c r="N337" s="1"/>
  <c r="G307"/>
  <c r="H307" s="1"/>
  <c r="I307" s="1"/>
  <c r="J307" s="1"/>
  <c r="K307" s="1"/>
  <c r="L307" s="1"/>
  <c r="M307" s="1"/>
  <c r="N307" s="1"/>
  <c r="G306"/>
  <c r="H306" s="1"/>
  <c r="I306" s="1"/>
  <c r="J306" s="1"/>
  <c r="K306" s="1"/>
  <c r="L306" s="1"/>
  <c r="M306" s="1"/>
  <c r="N306" s="1"/>
  <c r="G305"/>
  <c r="H305" s="1"/>
  <c r="I305" s="1"/>
  <c r="J305" s="1"/>
  <c r="K305" s="1"/>
  <c r="L305" s="1"/>
  <c r="M305" s="1"/>
  <c r="N305" s="1"/>
  <c r="G304"/>
  <c r="H304" s="1"/>
  <c r="I304" s="1"/>
  <c r="J304" s="1"/>
  <c r="K304" s="1"/>
  <c r="L304" s="1"/>
  <c r="M304" s="1"/>
  <c r="N304" s="1"/>
  <c r="G303"/>
  <c r="H303" s="1"/>
  <c r="I303" s="1"/>
  <c r="J303" s="1"/>
  <c r="K303" s="1"/>
  <c r="L303" s="1"/>
  <c r="M303" s="1"/>
  <c r="N303" s="1"/>
  <c r="G302"/>
  <c r="H302" s="1"/>
  <c r="I302" s="1"/>
  <c r="J302" s="1"/>
  <c r="K302" s="1"/>
  <c r="L302" s="1"/>
  <c r="M302" s="1"/>
  <c r="N302" s="1"/>
  <c r="G272"/>
  <c r="H272" s="1"/>
  <c r="I272" s="1"/>
  <c r="J272" s="1"/>
  <c r="K272" s="1"/>
  <c r="L272" s="1"/>
  <c r="M272" s="1"/>
  <c r="N272" s="1"/>
  <c r="G271"/>
  <c r="H271" s="1"/>
  <c r="I271" s="1"/>
  <c r="J271" s="1"/>
  <c r="K271" s="1"/>
  <c r="L271" s="1"/>
  <c r="M271" s="1"/>
  <c r="N271" s="1"/>
  <c r="G270"/>
  <c r="H270" s="1"/>
  <c r="I270" s="1"/>
  <c r="J270" s="1"/>
  <c r="K270" s="1"/>
  <c r="L270" s="1"/>
  <c r="M270" s="1"/>
  <c r="N270" s="1"/>
  <c r="G269"/>
  <c r="H269" s="1"/>
  <c r="I269" s="1"/>
  <c r="J269" s="1"/>
  <c r="K269" s="1"/>
  <c r="L269" s="1"/>
  <c r="M269" s="1"/>
  <c r="N269" s="1"/>
  <c r="G268"/>
  <c r="H268" s="1"/>
  <c r="I268" s="1"/>
  <c r="J268" s="1"/>
  <c r="K268" s="1"/>
  <c r="L268" s="1"/>
  <c r="M268" s="1"/>
  <c r="N268" s="1"/>
  <c r="G267"/>
  <c r="H267" s="1"/>
  <c r="I267" s="1"/>
  <c r="J267" s="1"/>
  <c r="K267" s="1"/>
  <c r="L267" s="1"/>
  <c r="M267" s="1"/>
  <c r="N267" s="1"/>
  <c r="G237"/>
  <c r="H237" s="1"/>
  <c r="I237" s="1"/>
  <c r="J237" s="1"/>
  <c r="K237" s="1"/>
  <c r="L237" s="1"/>
  <c r="M237" s="1"/>
  <c r="N237" s="1"/>
  <c r="G236"/>
  <c r="H236" s="1"/>
  <c r="I236" s="1"/>
  <c r="J236" s="1"/>
  <c r="K236" s="1"/>
  <c r="L236" s="1"/>
  <c r="M236" s="1"/>
  <c r="N236" s="1"/>
  <c r="G235"/>
  <c r="H235" s="1"/>
  <c r="I235" s="1"/>
  <c r="J235" s="1"/>
  <c r="K235" s="1"/>
  <c r="L235" s="1"/>
  <c r="M235" s="1"/>
  <c r="N235" s="1"/>
  <c r="G234"/>
  <c r="H234" s="1"/>
  <c r="I234" s="1"/>
  <c r="J234" s="1"/>
  <c r="K234" s="1"/>
  <c r="L234" s="1"/>
  <c r="M234" s="1"/>
  <c r="N234" s="1"/>
  <c r="G233"/>
  <c r="H233" s="1"/>
  <c r="I233" s="1"/>
  <c r="J233" s="1"/>
  <c r="K233" s="1"/>
  <c r="L233" s="1"/>
  <c r="M233" s="1"/>
  <c r="N233" s="1"/>
  <c r="G232"/>
  <c r="H232" s="1"/>
  <c r="I232" s="1"/>
  <c r="J232" s="1"/>
  <c r="K232" s="1"/>
  <c r="L232" s="1"/>
  <c r="M232" s="1"/>
  <c r="N232" s="1"/>
  <c r="G202"/>
  <c r="H202" s="1"/>
  <c r="I202" s="1"/>
  <c r="J202" s="1"/>
  <c r="K202" s="1"/>
  <c r="L202" s="1"/>
  <c r="M202" s="1"/>
  <c r="N202" s="1"/>
  <c r="G201"/>
  <c r="H201" s="1"/>
  <c r="I201" s="1"/>
  <c r="J201" s="1"/>
  <c r="K201" s="1"/>
  <c r="L201" s="1"/>
  <c r="M201" s="1"/>
  <c r="N201" s="1"/>
  <c r="G200"/>
  <c r="H200" s="1"/>
  <c r="I200" s="1"/>
  <c r="J200" s="1"/>
  <c r="K200" s="1"/>
  <c r="L200" s="1"/>
  <c r="M200" s="1"/>
  <c r="N200" s="1"/>
  <c r="G199"/>
  <c r="H199" s="1"/>
  <c r="I199" s="1"/>
  <c r="J199" s="1"/>
  <c r="K199" s="1"/>
  <c r="L199" s="1"/>
  <c r="M199" s="1"/>
  <c r="N199" s="1"/>
  <c r="G198"/>
  <c r="H198" s="1"/>
  <c r="I198" s="1"/>
  <c r="J198" s="1"/>
  <c r="K198" s="1"/>
  <c r="L198" s="1"/>
  <c r="M198" s="1"/>
  <c r="N198" s="1"/>
  <c r="G197"/>
  <c r="H197" s="1"/>
  <c r="I197" s="1"/>
  <c r="J197" s="1"/>
  <c r="K197" s="1"/>
  <c r="L197" s="1"/>
  <c r="M197" s="1"/>
  <c r="N197" s="1"/>
  <c r="G167"/>
  <c r="H167" s="1"/>
  <c r="I167" s="1"/>
  <c r="J167" s="1"/>
  <c r="K167" s="1"/>
  <c r="L167" s="1"/>
  <c r="M167" s="1"/>
  <c r="N167" s="1"/>
  <c r="G132"/>
  <c r="H132" s="1"/>
  <c r="I132" s="1"/>
  <c r="J132" s="1"/>
  <c r="K132" s="1"/>
  <c r="L132" s="1"/>
  <c r="M132" s="1"/>
  <c r="N132" s="1"/>
  <c r="G131"/>
  <c r="H131" s="1"/>
  <c r="I131" s="1"/>
  <c r="J131" s="1"/>
  <c r="K131" s="1"/>
  <c r="L131" s="1"/>
  <c r="M131" s="1"/>
  <c r="N131" s="1"/>
  <c r="G130"/>
  <c r="H130" s="1"/>
  <c r="I130" s="1"/>
  <c r="J130" s="1"/>
  <c r="K130" s="1"/>
  <c r="L130" s="1"/>
  <c r="M130" s="1"/>
  <c r="N130" s="1"/>
  <c r="G129"/>
  <c r="H129" s="1"/>
  <c r="I129" s="1"/>
  <c r="J129" s="1"/>
  <c r="K129" s="1"/>
  <c r="L129" s="1"/>
  <c r="M129" s="1"/>
  <c r="N129" s="1"/>
  <c r="G128"/>
  <c r="H128" s="1"/>
  <c r="I128" s="1"/>
  <c r="J128" s="1"/>
  <c r="K128" s="1"/>
  <c r="L128" s="1"/>
  <c r="M128" s="1"/>
  <c r="N128" s="1"/>
  <c r="G127"/>
  <c r="H127" s="1"/>
  <c r="I127" s="1"/>
  <c r="J127" s="1"/>
  <c r="K127" s="1"/>
  <c r="L127" s="1"/>
  <c r="M127" s="1"/>
  <c r="N127" s="1"/>
  <c r="G97"/>
  <c r="H97" s="1"/>
  <c r="I97" s="1"/>
  <c r="J97" s="1"/>
  <c r="K97" s="1"/>
  <c r="L97" s="1"/>
  <c r="M97" s="1"/>
  <c r="N97" s="1"/>
  <c r="G96"/>
  <c r="H96" s="1"/>
  <c r="I96" s="1"/>
  <c r="J96" s="1"/>
  <c r="K96" s="1"/>
  <c r="L96" s="1"/>
  <c r="M96" s="1"/>
  <c r="N96" s="1"/>
  <c r="G95"/>
  <c r="H95" s="1"/>
  <c r="I95" s="1"/>
  <c r="J95" s="1"/>
  <c r="K95" s="1"/>
  <c r="L95" s="1"/>
  <c r="M95" s="1"/>
  <c r="N95" s="1"/>
  <c r="G94"/>
  <c r="H94" s="1"/>
  <c r="I94" s="1"/>
  <c r="J94" s="1"/>
  <c r="K94" s="1"/>
  <c r="L94" s="1"/>
  <c r="M94" s="1"/>
  <c r="N94" s="1"/>
  <c r="G93"/>
  <c r="H93" s="1"/>
  <c r="I93" s="1"/>
  <c r="J93" s="1"/>
  <c r="K93" s="1"/>
  <c r="L93" s="1"/>
  <c r="M93" s="1"/>
  <c r="N93" s="1"/>
  <c r="G92"/>
  <c r="H92" s="1"/>
  <c r="I92" s="1"/>
  <c r="J92" s="1"/>
  <c r="K92" s="1"/>
  <c r="L92" s="1"/>
  <c r="M92" s="1"/>
  <c r="N92" s="1"/>
  <c r="G58"/>
  <c r="H58" s="1"/>
  <c r="I58" s="1"/>
  <c r="J58" s="1"/>
  <c r="K58" s="1"/>
  <c r="L58" s="1"/>
  <c r="M58" s="1"/>
  <c r="N58" s="1"/>
  <c r="G59"/>
  <c r="H59" s="1"/>
  <c r="I59" s="1"/>
  <c r="J59" s="1"/>
  <c r="K59" s="1"/>
  <c r="L59" s="1"/>
  <c r="M59" s="1"/>
  <c r="N59" s="1"/>
  <c r="G60"/>
  <c r="H60" s="1"/>
  <c r="I60" s="1"/>
  <c r="J60" s="1"/>
  <c r="K60" s="1"/>
  <c r="L60" s="1"/>
  <c r="M60" s="1"/>
  <c r="N60" s="1"/>
  <c r="G61"/>
  <c r="H61" s="1"/>
  <c r="I61" s="1"/>
  <c r="J61" s="1"/>
  <c r="K61" s="1"/>
  <c r="L61" s="1"/>
  <c r="M61" s="1"/>
  <c r="N61" s="1"/>
  <c r="G62"/>
  <c r="H62" s="1"/>
  <c r="I62" s="1"/>
  <c r="J62" s="1"/>
  <c r="K62" s="1"/>
  <c r="L62" s="1"/>
  <c r="M62" s="1"/>
  <c r="N62" s="1"/>
  <c r="G57"/>
  <c r="H57" s="1"/>
  <c r="I57" s="1"/>
  <c r="J57" s="1"/>
  <c r="K57" s="1"/>
  <c r="L57" s="1"/>
  <c r="M57" s="1"/>
  <c r="N57" s="1"/>
  <c r="B433"/>
  <c r="C430"/>
  <c r="AO75" i="8" s="1"/>
  <c r="B398" i="11"/>
  <c r="C395"/>
  <c r="AN75" i="8" s="1"/>
  <c r="B363" i="11"/>
  <c r="C360"/>
  <c r="AM75" i="8" s="1"/>
  <c r="B328" i="11"/>
  <c r="C325"/>
  <c r="AL75" i="8" s="1"/>
  <c r="B293" i="11"/>
  <c r="C290"/>
  <c r="AK75" i="8" s="1"/>
  <c r="B258" i="11"/>
  <c r="C255"/>
  <c r="AJ75" i="8" s="1"/>
  <c r="B223" i="11"/>
  <c r="C220"/>
  <c r="AI75" i="8" s="1"/>
  <c r="B188" i="11"/>
  <c r="C185"/>
  <c r="AH75" i="8" s="1"/>
  <c r="B153" i="11"/>
  <c r="C150"/>
  <c r="AG75" i="8" s="1"/>
  <c r="B118" i="11"/>
  <c r="C115"/>
  <c r="AF75" i="8" s="1"/>
  <c r="B83" i="11"/>
  <c r="C80"/>
  <c r="AE75" i="8" s="1"/>
  <c r="B48" i="11"/>
  <c r="C45"/>
  <c r="AD75" i="8" s="1"/>
  <c r="C10" i="11"/>
  <c r="AC75" i="8" s="1"/>
  <c r="B36"/>
  <c r="B35"/>
  <c r="B34"/>
  <c r="B33"/>
  <c r="B32"/>
  <c r="B31"/>
  <c r="B55"/>
  <c r="B42"/>
  <c r="C553" i="11" l="1"/>
  <c r="AR93" i="8" s="1"/>
  <c r="J178" i="11"/>
  <c r="L178"/>
  <c r="N178"/>
  <c r="G178"/>
  <c r="M178"/>
  <c r="F178"/>
  <c r="H178"/>
  <c r="I178"/>
  <c r="K178"/>
  <c r="F619"/>
  <c r="F627"/>
  <c r="G623"/>
  <c r="G181"/>
  <c r="C597"/>
  <c r="AS102" i="8" s="1"/>
  <c r="C504" i="11"/>
  <c r="AQ79" i="8" s="1"/>
  <c r="R14" s="1"/>
  <c r="C244" i="11"/>
  <c r="AI99" i="8" s="1"/>
  <c r="C362" i="11"/>
  <c r="AM77" i="8" s="1"/>
  <c r="C492" i="11"/>
  <c r="AP102" i="8" s="1"/>
  <c r="C340" i="11"/>
  <c r="AL90" i="8" s="1"/>
  <c r="M23" s="1"/>
  <c r="C172" i="11"/>
  <c r="AG97" i="8" s="1"/>
  <c r="H28" s="1"/>
  <c r="C70" i="11"/>
  <c r="AD100" i="8" s="1"/>
  <c r="C543" i="11"/>
  <c r="AR83" i="8" s="1"/>
  <c r="S16" s="1"/>
  <c r="C132" i="11"/>
  <c r="AF92" i="8" s="1"/>
  <c r="C97" i="11"/>
  <c r="AE92" i="8" s="1"/>
  <c r="C128" i="11"/>
  <c r="AF88" i="8" s="1"/>
  <c r="G21" s="1"/>
  <c r="C177" i="11"/>
  <c r="AG102" i="8" s="1"/>
  <c r="C53" i="11"/>
  <c r="AD83" i="8" s="1"/>
  <c r="E16" s="1"/>
  <c r="C450" i="11"/>
  <c r="AO95" i="8" s="1"/>
  <c r="C526" i="11"/>
  <c r="AQ101" i="8" s="1"/>
  <c r="C121" i="11"/>
  <c r="AF81" i="8" s="1"/>
  <c r="G15" s="1"/>
  <c r="C610" i="11"/>
  <c r="AT80" i="8" s="1"/>
  <c r="C21" i="11"/>
  <c r="AC86" i="8" s="1"/>
  <c r="C445" i="11"/>
  <c r="AO90" i="8" s="1"/>
  <c r="P23" s="1"/>
  <c r="C368" i="11"/>
  <c r="AM83" i="8" s="1"/>
  <c r="N16" s="1"/>
  <c r="C204" i="11"/>
  <c r="AH94" i="8" s="1"/>
  <c r="C303" i="11"/>
  <c r="AK88" i="8" s="1"/>
  <c r="L21" s="1"/>
  <c r="C381" i="11"/>
  <c r="AM96" i="8" s="1"/>
  <c r="N29" s="1"/>
  <c r="C240" i="11"/>
  <c r="AI95" i="8" s="1"/>
  <c r="C265" i="11"/>
  <c r="AJ85" i="8" s="1"/>
  <c r="K18" s="1"/>
  <c r="C25" i="11"/>
  <c r="AC90" i="8" s="1"/>
  <c r="D23" s="1"/>
  <c r="C410" i="11"/>
  <c r="AN90" i="8" s="1"/>
  <c r="O23" s="1"/>
  <c r="C105" i="11"/>
  <c r="AE100" i="8" s="1"/>
  <c r="C26" i="11"/>
  <c r="AC91" i="8" s="1"/>
  <c r="D24" s="1"/>
  <c r="C84" i="11"/>
  <c r="AE79" i="8" s="1"/>
  <c r="F14" s="1"/>
  <c r="C123" i="11"/>
  <c r="AF83" i="8" s="1"/>
  <c r="G16" s="1"/>
  <c r="C310" i="11"/>
  <c r="AK95" i="8" s="1"/>
  <c r="C580" i="11"/>
  <c r="AS85" i="8" s="1"/>
  <c r="C46" i="11"/>
  <c r="AD76" i="8" s="1"/>
  <c r="C33" i="11"/>
  <c r="AC98" i="8" s="1"/>
  <c r="C282" i="11"/>
  <c r="AJ102" i="8" s="1"/>
  <c r="AC76"/>
  <c r="C170" i="11"/>
  <c r="AG95" i="8" s="1"/>
  <c r="C15" i="11"/>
  <c r="AC80" i="8" s="1"/>
  <c r="C272" i="11"/>
  <c r="AJ92" i="8" s="1"/>
  <c r="C280" i="11"/>
  <c r="AJ100" i="8" s="1"/>
  <c r="C417" i="11"/>
  <c r="AN97" i="8" s="1"/>
  <c r="C63" i="11"/>
  <c r="AD93" i="8" s="1"/>
  <c r="C300" i="11"/>
  <c r="AK85" i="8" s="1"/>
  <c r="C186" i="11"/>
  <c r="AH76" i="8" s="1"/>
  <c r="C577" i="11"/>
  <c r="AS82" i="8" s="1"/>
  <c r="T31" s="1"/>
  <c r="C99" i="11"/>
  <c r="AE94" i="8" s="1"/>
  <c r="C387" i="11"/>
  <c r="AM102" i="8" s="1"/>
  <c r="C506" i="11"/>
  <c r="AQ81" i="8" s="1"/>
  <c r="R15" s="1"/>
  <c r="C238" i="11"/>
  <c r="AI93" i="8" s="1"/>
  <c r="C469" i="11"/>
  <c r="AP79" i="8" s="1"/>
  <c r="Q14" s="1"/>
  <c r="C588" i="11"/>
  <c r="AS93" i="8" s="1"/>
  <c r="C475" i="11"/>
  <c r="AP85" i="8" s="1"/>
  <c r="C326" i="11"/>
  <c r="AL76" i="8" s="1"/>
  <c r="C363" i="11"/>
  <c r="AM78" i="8" s="1"/>
  <c r="C193" i="11"/>
  <c r="AH83" i="8" s="1"/>
  <c r="C157" i="11"/>
  <c r="AG82" i="8" s="1"/>
  <c r="H31" s="1"/>
  <c r="C560" i="11"/>
  <c r="AR100" i="8" s="1"/>
  <c r="C614" i="11"/>
  <c r="AT84" i="8" s="1"/>
  <c r="C158" i="11"/>
  <c r="AG83" i="8" s="1"/>
  <c r="C140" i="11"/>
  <c r="AF100" i="8" s="1"/>
  <c r="C278" i="11"/>
  <c r="AJ98" i="8" s="1"/>
  <c r="C383" i="11"/>
  <c r="AM98" i="8" s="1"/>
  <c r="C316" i="11"/>
  <c r="AK101" i="8" s="1"/>
  <c r="C337" i="11"/>
  <c r="AL87" i="8" s="1"/>
  <c r="M20" s="1"/>
  <c r="C550" i="11"/>
  <c r="AR90" i="8" s="1"/>
  <c r="S23" s="1"/>
  <c r="C488" i="11"/>
  <c r="AP98" i="8" s="1"/>
  <c r="Q36" s="1"/>
  <c r="K34"/>
  <c r="C129" i="11"/>
  <c r="AF89" i="8" s="1"/>
  <c r="G22" s="1"/>
  <c r="C347" i="11"/>
  <c r="AL97" i="8" s="1"/>
  <c r="M28" s="1"/>
  <c r="C257" i="11"/>
  <c r="AJ77" i="8" s="1"/>
  <c r="C174" i="11"/>
  <c r="AG99" i="8" s="1"/>
  <c r="C130" i="11"/>
  <c r="AF90" i="8" s="1"/>
  <c r="G23" s="1"/>
  <c r="C32" i="11"/>
  <c r="AC97" i="8" s="1"/>
  <c r="C305" i="11"/>
  <c r="AK90" i="8" s="1"/>
  <c r="L23" s="1"/>
  <c r="C448" i="11"/>
  <c r="AO93" i="8" s="1"/>
  <c r="C613" i="11"/>
  <c r="AT83" i="8" s="1"/>
  <c r="C351" i="11"/>
  <c r="AL101" i="8" s="1"/>
  <c r="H626" i="11"/>
  <c r="H624"/>
  <c r="I622"/>
  <c r="J622" s="1"/>
  <c r="K622" s="1"/>
  <c r="L622" s="1"/>
  <c r="M622" s="1"/>
  <c r="N622" s="1"/>
  <c r="F624"/>
  <c r="I628"/>
  <c r="J628" s="1"/>
  <c r="K628" s="1"/>
  <c r="L628" s="1"/>
  <c r="M628" s="1"/>
  <c r="N628" s="1"/>
  <c r="I620"/>
  <c r="J620" s="1"/>
  <c r="K620" s="1"/>
  <c r="L620" s="1"/>
  <c r="M620" s="1"/>
  <c r="N620" s="1"/>
  <c r="G624"/>
  <c r="G618"/>
  <c r="H620"/>
  <c r="M528"/>
  <c r="C166"/>
  <c r="AG91" i="8" s="1"/>
  <c r="H24" s="1"/>
  <c r="C377" i="11"/>
  <c r="AM92" i="8" s="1"/>
  <c r="N25" s="1"/>
  <c r="C345" i="11"/>
  <c r="AL95" i="8" s="1"/>
  <c r="C100" i="11"/>
  <c r="AE95" i="8" s="1"/>
  <c r="C632" i="11"/>
  <c r="AT102" i="8" s="1"/>
  <c r="C106" i="11"/>
  <c r="AE101" i="8" s="1"/>
  <c r="C344" i="11"/>
  <c r="AL94" i="8" s="1"/>
  <c r="C521" i="11"/>
  <c r="AQ96" i="8" s="1"/>
  <c r="R29" s="1"/>
  <c r="C29" i="11"/>
  <c r="AC94" i="8" s="1"/>
  <c r="C440" i="11"/>
  <c r="AO85" i="8" s="1"/>
  <c r="C348" i="11"/>
  <c r="AL98" i="8" s="1"/>
  <c r="C56" i="11"/>
  <c r="AD86" i="8" s="1"/>
  <c r="C64" i="11"/>
  <c r="AD94" i="8" s="1"/>
  <c r="C384" i="11"/>
  <c r="AM99" i="8" s="1"/>
  <c r="I563" i="11"/>
  <c r="J213"/>
  <c r="G493"/>
  <c r="N388"/>
  <c r="F283"/>
  <c r="L318"/>
  <c r="K563"/>
  <c r="F143"/>
  <c r="M213"/>
  <c r="L38"/>
  <c r="L39" s="1"/>
  <c r="F108"/>
  <c r="F353"/>
  <c r="L598"/>
  <c r="M388"/>
  <c r="F493"/>
  <c r="G528"/>
  <c r="I388"/>
  <c r="F563"/>
  <c r="C490"/>
  <c r="AP100" i="8" s="1"/>
  <c r="C398" i="11"/>
  <c r="AN78" i="8" s="1"/>
  <c r="C379" i="11"/>
  <c r="AM94" i="8" s="1"/>
  <c r="C22" i="11"/>
  <c r="AC87" i="8" s="1"/>
  <c r="D20" s="1"/>
  <c r="C160" i="11"/>
  <c r="AG85" i="8" s="1"/>
  <c r="C138" i="11"/>
  <c r="AF98" i="8" s="1"/>
  <c r="C104" i="11"/>
  <c r="AE99" i="8" s="1"/>
  <c r="C62" i="11"/>
  <c r="AD92" i="8" s="1"/>
  <c r="E25" s="1"/>
  <c r="C96" i="11"/>
  <c r="AE91" i="8" s="1"/>
  <c r="F24" s="1"/>
  <c r="C269" i="11"/>
  <c r="AJ89" i="8" s="1"/>
  <c r="K22" s="1"/>
  <c r="M563" i="11"/>
  <c r="C176"/>
  <c r="AG101" i="8" s="1"/>
  <c r="C478" i="11"/>
  <c r="AP88" i="8" s="1"/>
  <c r="Q21" s="1"/>
  <c r="C83" i="11"/>
  <c r="AE78" i="8" s="1"/>
  <c r="F598" i="11"/>
  <c r="C556"/>
  <c r="AR96" i="8" s="1"/>
  <c r="S29" s="1"/>
  <c r="I625" i="11"/>
  <c r="I623"/>
  <c r="J623" s="1"/>
  <c r="K623" s="1"/>
  <c r="L623" s="1"/>
  <c r="M623" s="1"/>
  <c r="N623" s="1"/>
  <c r="I423"/>
  <c r="H625"/>
  <c r="I618"/>
  <c r="H628"/>
  <c r="I624"/>
  <c r="J624" s="1"/>
  <c r="K624" s="1"/>
  <c r="L624" s="1"/>
  <c r="M624" s="1"/>
  <c r="N624" s="1"/>
  <c r="G458"/>
  <c r="I616"/>
  <c r="H618"/>
  <c r="I250"/>
  <c r="F423"/>
  <c r="G619"/>
  <c r="L563"/>
  <c r="G617"/>
  <c r="H617"/>
  <c r="G318"/>
  <c r="H250"/>
  <c r="G73"/>
  <c r="M318"/>
  <c r="I598"/>
  <c r="H38"/>
  <c r="H39" s="1"/>
  <c r="H388"/>
  <c r="F620"/>
  <c r="F617"/>
  <c r="F38"/>
  <c r="F39" s="1"/>
  <c r="G622"/>
  <c r="F618"/>
  <c r="G621"/>
  <c r="N598"/>
  <c r="M598"/>
  <c r="I617"/>
  <c r="J617" s="1"/>
  <c r="K617" s="1"/>
  <c r="L617" s="1"/>
  <c r="M617" s="1"/>
  <c r="N617" s="1"/>
  <c r="G250"/>
  <c r="H353"/>
  <c r="G353"/>
  <c r="N213"/>
  <c r="K528"/>
  <c r="L528"/>
  <c r="H598"/>
  <c r="G388"/>
  <c r="F73"/>
  <c r="N563"/>
  <c r="L213"/>
  <c r="H528"/>
  <c r="K213"/>
  <c r="F622"/>
  <c r="H623"/>
  <c r="F623"/>
  <c r="G616"/>
  <c r="G563"/>
  <c r="H622"/>
  <c r="J318"/>
  <c r="I318"/>
  <c r="F213"/>
  <c r="K388"/>
  <c r="I213"/>
  <c r="N38"/>
  <c r="N39" s="1"/>
  <c r="J38"/>
  <c r="J39" s="1"/>
  <c r="H143"/>
  <c r="G143"/>
  <c r="F528"/>
  <c r="F388"/>
  <c r="H318"/>
  <c r="F621"/>
  <c r="G283"/>
  <c r="G38"/>
  <c r="G39" s="1"/>
  <c r="F250"/>
  <c r="F625"/>
  <c r="F616"/>
  <c r="I621"/>
  <c r="J621" s="1"/>
  <c r="K621" s="1"/>
  <c r="L621" s="1"/>
  <c r="M621" s="1"/>
  <c r="N621" s="1"/>
  <c r="I38"/>
  <c r="I39" s="1"/>
  <c r="F458"/>
  <c r="G628"/>
  <c r="K38"/>
  <c r="K39" s="1"/>
  <c r="H213"/>
  <c r="G213"/>
  <c r="H627"/>
  <c r="I283"/>
  <c r="K318"/>
  <c r="F318"/>
  <c r="G627"/>
  <c r="G625"/>
  <c r="I353"/>
  <c r="F628"/>
  <c r="I619"/>
  <c r="J619" s="1"/>
  <c r="K619" s="1"/>
  <c r="L619" s="1"/>
  <c r="M619" s="1"/>
  <c r="N619" s="1"/>
  <c r="I626"/>
  <c r="J626" s="1"/>
  <c r="K626" s="1"/>
  <c r="L626" s="1"/>
  <c r="M626" s="1"/>
  <c r="N626" s="1"/>
  <c r="H616"/>
  <c r="G626"/>
  <c r="G423"/>
  <c r="G620"/>
  <c r="H621"/>
  <c r="H619"/>
  <c r="J598"/>
  <c r="J528"/>
  <c r="K598"/>
  <c r="H563"/>
  <c r="J563"/>
  <c r="I528"/>
  <c r="J388"/>
  <c r="I627"/>
  <c r="J627" s="1"/>
  <c r="K627" s="1"/>
  <c r="L627" s="1"/>
  <c r="M627" s="1"/>
  <c r="N627" s="1"/>
  <c r="L388"/>
  <c r="N318"/>
  <c r="G108"/>
  <c r="M38"/>
  <c r="M39" s="1"/>
  <c r="C579"/>
  <c r="AS84" i="8" s="1"/>
  <c r="N528" i="11"/>
  <c r="C224"/>
  <c r="AI79" i="8" s="1"/>
  <c r="J14" s="1"/>
  <c r="C444" i="11"/>
  <c r="AO89" i="8" s="1"/>
  <c r="P22" s="1"/>
  <c r="C396" i="11"/>
  <c r="AN76" i="8" s="1"/>
  <c r="C629" i="11"/>
  <c r="AT99" i="8" s="1"/>
  <c r="H108" i="11"/>
  <c r="I458"/>
  <c r="C472"/>
  <c r="AP82" i="8" s="1"/>
  <c r="Q31" s="1"/>
  <c r="C175" i="11"/>
  <c r="AG100" i="8" s="1"/>
  <c r="C346" i="11"/>
  <c r="AL96" i="8" s="1"/>
  <c r="M29" s="1"/>
  <c r="C419" i="11"/>
  <c r="AN99" i="8" s="1"/>
  <c r="C27" i="11"/>
  <c r="AC92" i="8" s="1"/>
  <c r="C536" i="11"/>
  <c r="AR76" i="8" s="1"/>
  <c r="C194" i="11"/>
  <c r="AH84" i="8" s="1"/>
  <c r="C587" i="11"/>
  <c r="AS92" i="8" s="1"/>
  <c r="T25" s="1"/>
  <c r="C491" i="11"/>
  <c r="AP101" i="8" s="1"/>
  <c r="C546" i="11"/>
  <c r="AR86" i="8" s="1"/>
  <c r="C480" i="11"/>
  <c r="AP90" i="8" s="1"/>
  <c r="Q23" s="1"/>
  <c r="C229" i="11"/>
  <c r="AI84" i="8" s="1"/>
  <c r="C433" i="11"/>
  <c r="AO78" i="8" s="1"/>
  <c r="C452" i="11"/>
  <c r="AO97" i="8" s="1"/>
  <c r="C513" i="11"/>
  <c r="AQ88" i="8" s="1"/>
  <c r="R21" s="1"/>
  <c r="C234" i="11"/>
  <c r="AI89" i="8" s="1"/>
  <c r="J22" s="1"/>
  <c r="C481" i="11"/>
  <c r="AP91" i="8" s="1"/>
  <c r="Q24" s="1"/>
  <c r="C152" i="11"/>
  <c r="AG77" i="8" s="1"/>
  <c r="C573" i="11"/>
  <c r="AS78" i="8" s="1"/>
  <c r="C209" i="11"/>
  <c r="AH99" i="8" s="1"/>
  <c r="C205" i="11"/>
  <c r="AH95" i="8" s="1"/>
  <c r="C61" i="11"/>
  <c r="AD91" i="8" s="1"/>
  <c r="E24" s="1"/>
  <c r="C85" i="11"/>
  <c r="AE80" i="8" s="1"/>
  <c r="F30" s="1"/>
  <c r="C141" i="11"/>
  <c r="AF101" i="8" s="1"/>
  <c r="C397" i="11"/>
  <c r="AN77" i="8" s="1"/>
  <c r="C153" i="11"/>
  <c r="AG78" i="8" s="1"/>
  <c r="C378" i="11"/>
  <c r="AM93" i="8" s="1"/>
  <c r="C274" i="11"/>
  <c r="AJ94" i="8" s="1"/>
  <c r="C133" i="11"/>
  <c r="AF93" i="8" s="1"/>
  <c r="C94" i="11"/>
  <c r="AE89" i="8" s="1"/>
  <c r="F22" s="1"/>
  <c r="C554" i="11"/>
  <c r="AR94" i="8" s="1"/>
  <c r="C57" i="11"/>
  <c r="AD87" i="8" s="1"/>
  <c r="E20" s="1"/>
  <c r="C386" i="11"/>
  <c r="AM101" i="8" s="1"/>
  <c r="C270" i="11"/>
  <c r="AJ90" i="8" s="1"/>
  <c r="K23" s="1"/>
  <c r="C165" i="11"/>
  <c r="AG90" i="8" s="1"/>
  <c r="H23" s="1"/>
  <c r="C415" i="11"/>
  <c r="AN95" i="8" s="1"/>
  <c r="C200" i="11"/>
  <c r="AH90" i="8" s="1"/>
  <c r="I23" s="1"/>
  <c r="C156" i="11"/>
  <c r="AG81" i="8" s="1"/>
  <c r="H15" s="1"/>
  <c r="C58" i="11"/>
  <c r="AD88" i="8" s="1"/>
  <c r="E21" s="1"/>
  <c r="C482" i="11"/>
  <c r="AP92" i="8" s="1"/>
  <c r="Q25" s="1"/>
  <c r="C142" i="11"/>
  <c r="AF102" i="8" s="1"/>
  <c r="C519" i="11"/>
  <c r="AQ94" i="8" s="1"/>
  <c r="C16" i="11"/>
  <c r="AC81" i="8" s="1"/>
  <c r="C412" i="11"/>
  <c r="AN92" i="8" s="1"/>
  <c r="C20" i="11"/>
  <c r="AC85" i="8" s="1"/>
  <c r="C437" i="11"/>
  <c r="AO82" i="8" s="1"/>
  <c r="P31" s="1"/>
  <c r="C279" i="11"/>
  <c r="AJ99" i="8" s="1"/>
  <c r="C246" i="11"/>
  <c r="AI101" i="8" s="1"/>
  <c r="C317" i="11"/>
  <c r="AK102" i="8" s="1"/>
  <c r="C298" i="11"/>
  <c r="AK83" i="8" s="1"/>
  <c r="C28" i="11"/>
  <c r="AC93" i="8" s="1"/>
  <c r="C268" i="11"/>
  <c r="AJ88" i="8" s="1"/>
  <c r="K21" s="1"/>
  <c r="C432" i="11"/>
  <c r="AO77" i="8" s="1"/>
  <c r="C400" i="11"/>
  <c r="AN80" i="8" s="1"/>
  <c r="O30" s="1"/>
  <c r="C212" i="11"/>
  <c r="AH102" i="8" s="1"/>
  <c r="C608" i="11"/>
  <c r="AT78" i="8" s="1"/>
  <c r="C572" i="11"/>
  <c r="AS77" i="8" s="1"/>
  <c r="C371" i="11"/>
  <c r="AM86" i="8" s="1"/>
  <c r="C615" i="11"/>
  <c r="AT85" i="8" s="1"/>
  <c r="C559" i="11"/>
  <c r="AR99" i="8" s="1"/>
  <c r="C414" i="11"/>
  <c r="AN94" i="8" s="1"/>
  <c r="C54" i="11"/>
  <c r="AD84" i="8" s="1"/>
  <c r="C117" i="11"/>
  <c r="AF77" i="8" s="1"/>
  <c r="C136" i="11"/>
  <c r="AF96" i="8" s="1"/>
  <c r="G29" s="1"/>
  <c r="C18" i="11"/>
  <c r="AC83" i="8" s="1"/>
  <c r="C47" i="11"/>
  <c r="AD77" i="8" s="1"/>
  <c r="C409" i="11"/>
  <c r="AN89" i="8" s="1"/>
  <c r="O22" s="1"/>
  <c r="C612" i="11"/>
  <c r="AT82" i="8" s="1"/>
  <c r="U31" s="1"/>
  <c r="C416" i="11"/>
  <c r="AN96" i="8" s="1"/>
  <c r="O29" s="1"/>
  <c r="C522" i="11"/>
  <c r="AQ97" i="8" s="1"/>
  <c r="C60" i="11"/>
  <c r="AD90" i="8" s="1"/>
  <c r="E23" s="1"/>
  <c r="C551" i="11"/>
  <c r="AR91" i="8" s="1"/>
  <c r="S24" s="1"/>
  <c r="C333" i="11"/>
  <c r="AL83" i="8" s="1"/>
  <c r="C169" i="11"/>
  <c r="AG94" i="8" s="1"/>
  <c r="C470" i="11"/>
  <c r="AP80" i="8" s="1"/>
  <c r="Q30" s="1"/>
  <c r="C125" i="11"/>
  <c r="AF85" i="8" s="1"/>
  <c r="C453" i="11"/>
  <c r="AO98" i="8" s="1"/>
  <c r="C139" i="11"/>
  <c r="AF99" i="8" s="1"/>
  <c r="C402" i="11"/>
  <c r="AN82" i="8" s="1"/>
  <c r="O31" s="1"/>
  <c r="C116" i="11"/>
  <c r="AF76" i="8" s="1"/>
  <c r="C291" i="11"/>
  <c r="AK76" i="8" s="1"/>
  <c r="C315" i="11"/>
  <c r="AK100" i="8" s="1"/>
  <c r="C406" i="11"/>
  <c r="AN86" i="8" s="1"/>
  <c r="C555" i="11"/>
  <c r="AR95" i="8" s="1"/>
  <c r="S27" s="1"/>
  <c r="C339" i="11"/>
  <c r="AL89" i="8" s="1"/>
  <c r="M22" s="1"/>
  <c r="C24" i="11"/>
  <c r="AC89" i="8" s="1"/>
  <c r="D22" s="1"/>
  <c r="C576" i="11"/>
  <c r="AS81" i="8" s="1"/>
  <c r="T15" s="1"/>
  <c r="C349" i="11"/>
  <c r="AL99" i="8" s="1"/>
  <c r="C208" i="11"/>
  <c r="AH98" i="8" s="1"/>
  <c r="C68" i="11"/>
  <c r="AD98" i="8" s="1"/>
  <c r="C190" i="11"/>
  <c r="AH80" i="8" s="1"/>
  <c r="I30" s="1"/>
  <c r="C161" i="11"/>
  <c r="AG86" i="8" s="1"/>
  <c r="H19" s="1"/>
  <c r="C199" i="11"/>
  <c r="AH89" i="8" s="1"/>
  <c r="I22" s="1"/>
  <c r="C55" i="11"/>
  <c r="AD85" i="8" s="1"/>
  <c r="C163" i="11"/>
  <c r="AG88" i="8" s="1"/>
  <c r="H21" s="1"/>
  <c r="C30" i="11"/>
  <c r="AC95" i="8" s="1"/>
  <c r="C515" i="11"/>
  <c r="AQ90" i="8" s="1"/>
  <c r="R23" s="1"/>
  <c r="C259" i="11"/>
  <c r="AJ79" i="8" s="1"/>
  <c r="K14" s="1"/>
  <c r="C596" i="11"/>
  <c r="AS101" i="8" s="1"/>
  <c r="C275" i="11"/>
  <c r="AJ95" i="8" s="1"/>
  <c r="C477" i="11"/>
  <c r="AP87" i="8" s="1"/>
  <c r="Q20" s="1"/>
  <c r="C306" i="11"/>
  <c r="AK91" i="8" s="1"/>
  <c r="L24" s="1"/>
  <c r="C557" i="11"/>
  <c r="AR97" i="8" s="1"/>
  <c r="C59" i="11"/>
  <c r="AD89" i="8" s="1"/>
  <c r="E22" s="1"/>
  <c r="C527" i="11"/>
  <c r="AQ102" i="8" s="1"/>
  <c r="C447" i="11"/>
  <c r="AO92" i="8" s="1"/>
  <c r="P25" s="1"/>
  <c r="C539" i="11"/>
  <c r="AR79" i="8" s="1"/>
  <c r="S14" s="1"/>
  <c r="C71" i="11"/>
  <c r="AD101" i="8" s="1"/>
  <c r="C295" i="11"/>
  <c r="AK80" i="8" s="1"/>
  <c r="L30" s="1"/>
  <c r="C119" i="11"/>
  <c r="AF79" i="8" s="1"/>
  <c r="G14" s="1"/>
  <c r="C235" i="11"/>
  <c r="AI90" i="8" s="1"/>
  <c r="J23" s="1"/>
  <c r="C103" i="11"/>
  <c r="AE98" i="8" s="1"/>
  <c r="C304" i="11"/>
  <c r="AK89" i="8" s="1"/>
  <c r="L22" s="1"/>
  <c r="C549" i="11"/>
  <c r="AR89" i="8" s="1"/>
  <c r="S22" s="1"/>
  <c r="C350" i="11"/>
  <c r="AL100" i="8" s="1"/>
  <c r="C327" i="11"/>
  <c r="AL77" i="8" s="1"/>
  <c r="C370" i="11"/>
  <c r="AM85" i="8" s="1"/>
  <c r="C399" i="11"/>
  <c r="AN79" i="8" s="1"/>
  <c r="O14" s="1"/>
  <c r="C195" i="11"/>
  <c r="AH85" i="8" s="1"/>
  <c r="C545" i="11"/>
  <c r="AR85" i="8" s="1"/>
  <c r="C296" i="11"/>
  <c r="AK81" i="8" s="1"/>
  <c r="L15" s="1"/>
  <c r="C173" i="11"/>
  <c r="AG98" i="8" s="1"/>
  <c r="C256" i="11"/>
  <c r="AJ76" i="8" s="1"/>
  <c r="C95" i="11"/>
  <c r="AE90" i="8" s="1"/>
  <c r="F23" s="1"/>
  <c r="C336" i="11"/>
  <c r="AL86" i="8" s="1"/>
  <c r="C578" i="11"/>
  <c r="AS83" i="8" s="1"/>
  <c r="C366" i="11"/>
  <c r="AM81" i="8" s="1"/>
  <c r="N15" s="1"/>
  <c r="C264" i="11"/>
  <c r="AJ84" i="8" s="1"/>
  <c r="C222" i="11"/>
  <c r="AI77" i="8" s="1"/>
  <c r="C607" i="11"/>
  <c r="AT77" i="8" s="1"/>
  <c r="C276" i="11"/>
  <c r="AJ96" i="8" s="1"/>
  <c r="K29" s="1"/>
  <c r="C365" i="11"/>
  <c r="AM80" i="8" s="1"/>
  <c r="N30" s="1"/>
  <c r="C313" i="11"/>
  <c r="AK98" i="8" s="1"/>
  <c r="C65" i="11"/>
  <c r="AD95" i="8" s="1"/>
  <c r="C69" i="11"/>
  <c r="AD99" i="8" s="1"/>
  <c r="C72" i="11"/>
  <c r="AD102" i="8" s="1"/>
  <c r="C479" i="11"/>
  <c r="AP89" i="8" s="1"/>
  <c r="Q22" s="1"/>
  <c r="C435" i="11"/>
  <c r="AO80" i="8" s="1"/>
  <c r="P30" s="1"/>
  <c r="C431" i="11"/>
  <c r="AO76" i="8" s="1"/>
  <c r="C342" i="11"/>
  <c r="AL92" i="8" s="1"/>
  <c r="M25" s="1"/>
  <c r="C374" i="11"/>
  <c r="AM89" i="8" s="1"/>
  <c r="N22" s="1"/>
  <c r="C309" i="11"/>
  <c r="AK94" i="8" s="1"/>
  <c r="C401" i="11"/>
  <c r="AN81" i="8" s="1"/>
  <c r="O15" s="1"/>
  <c r="C334" i="11"/>
  <c r="AL84" i="8" s="1"/>
  <c r="C134" i="11"/>
  <c r="AF94" i="8" s="1"/>
  <c r="C341" i="11"/>
  <c r="AL91" i="8" s="1"/>
  <c r="M24" s="1"/>
  <c r="C487" i="11"/>
  <c r="AP97" i="8" s="1"/>
  <c r="C544" i="11"/>
  <c r="AR84" i="8" s="1"/>
  <c r="C311" i="11"/>
  <c r="AK96" i="8" s="1"/>
  <c r="L29" s="1"/>
  <c r="C441" i="11"/>
  <c r="AO86" i="8" s="1"/>
  <c r="C552" i="11"/>
  <c r="AR92" i="8" s="1"/>
  <c r="S25" s="1"/>
  <c r="C375" i="11"/>
  <c r="AM90" i="8" s="1"/>
  <c r="N23" s="1"/>
  <c r="C609" i="11"/>
  <c r="AT79" i="8" s="1"/>
  <c r="U14" s="1"/>
  <c r="C420" i="11"/>
  <c r="AN100" i="8" s="1"/>
  <c r="C456" i="11"/>
  <c r="AO101" i="8" s="1"/>
  <c r="C584" i="11"/>
  <c r="AS89" i="8" s="1"/>
  <c r="T22" s="1"/>
  <c r="C329" i="11"/>
  <c r="AL79" i="8" s="1"/>
  <c r="M14" s="1"/>
  <c r="C501" i="11"/>
  <c r="AQ76" i="8" s="1"/>
  <c r="C434" i="11"/>
  <c r="AO79" i="8" s="1"/>
  <c r="P14" s="1"/>
  <c r="C405" i="11"/>
  <c r="AN85" i="8" s="1"/>
  <c r="C258" i="11"/>
  <c r="AJ78" i="8" s="1"/>
  <c r="C328" i="11"/>
  <c r="AL78" i="8" s="1"/>
  <c r="C489" i="11"/>
  <c r="AP99" i="8" s="1"/>
  <c r="C35" i="11"/>
  <c r="AC100" i="8" s="1"/>
  <c r="C343" i="11"/>
  <c r="AL93" i="8" s="1"/>
  <c r="C314" i="11"/>
  <c r="AK99" i="8" s="1"/>
  <c r="C281" i="11"/>
  <c r="AJ101" i="8" s="1"/>
  <c r="C301" i="11"/>
  <c r="AK86" i="8" s="1"/>
  <c r="C228" i="11"/>
  <c r="AI83" i="8" s="1"/>
  <c r="C436" i="11"/>
  <c r="AO81" i="8" s="1"/>
  <c r="P15" s="1"/>
  <c r="C299" i="11"/>
  <c r="AK84" i="8" s="1"/>
  <c r="C202" i="11"/>
  <c r="AH92" i="8" s="1"/>
  <c r="C19" i="11"/>
  <c r="AC84" i="8" s="1"/>
  <c r="C271" i="11"/>
  <c r="AJ91" i="8" s="1"/>
  <c r="K24" s="1"/>
  <c r="C467" i="11"/>
  <c r="AP77" i="8" s="1"/>
  <c r="C247" i="11"/>
  <c r="AI102" i="8" s="1"/>
  <c r="C422" i="11"/>
  <c r="AN102" i="8" s="1"/>
  <c r="C66" i="11"/>
  <c r="AD96" i="8" s="1"/>
  <c r="E29" s="1"/>
  <c r="C611" i="11"/>
  <c r="AT81" i="8" s="1"/>
  <c r="U15" s="1"/>
  <c r="C49" i="11"/>
  <c r="AD79" i="8" s="1"/>
  <c r="E14" s="1"/>
  <c r="C210" i="11"/>
  <c r="AH100" i="8" s="1"/>
  <c r="C17" i="11"/>
  <c r="AC82" i="8" s="1"/>
  <c r="C127" i="11"/>
  <c r="AF87" i="8" s="1"/>
  <c r="G20" s="1"/>
  <c r="C101" i="11"/>
  <c r="AE96" i="8" s="1"/>
  <c r="F29" s="1"/>
  <c r="C273" i="11"/>
  <c r="AJ93" i="8" s="1"/>
  <c r="C591" i="11"/>
  <c r="AS96" i="8" s="1"/>
  <c r="T29" s="1"/>
  <c r="C574" i="11"/>
  <c r="AS79" i="8" s="1"/>
  <c r="T14" s="1"/>
  <c r="C168" i="11"/>
  <c r="AG93" i="8" s="1"/>
  <c r="C294" i="11"/>
  <c r="AK79" i="8" s="1"/>
  <c r="L14" s="1"/>
  <c r="C239" i="11"/>
  <c r="AI94" i="8" s="1"/>
  <c r="C267" i="11"/>
  <c r="AJ87" i="8" s="1"/>
  <c r="K20" s="1"/>
  <c r="C297" i="11"/>
  <c r="AK82" i="8" s="1"/>
  <c r="L31" s="1"/>
  <c r="C231" i="11"/>
  <c r="AI86" i="8" s="1"/>
  <c r="C171" i="11"/>
  <c r="AG96" i="8" s="1"/>
  <c r="H29" s="1"/>
  <c r="C446" i="11"/>
  <c r="AO91" i="8" s="1"/>
  <c r="P24" s="1"/>
  <c r="C547" i="11"/>
  <c r="AR87" i="8" s="1"/>
  <c r="S20" s="1"/>
  <c r="C225" i="11"/>
  <c r="AI80" i="8" s="1"/>
  <c r="J30" s="1"/>
  <c r="C413" i="11"/>
  <c r="AN93" i="8" s="1"/>
  <c r="C36" i="11"/>
  <c r="AC101" i="8" s="1"/>
  <c r="C466" i="11"/>
  <c r="AP76" i="8" s="1"/>
  <c r="C154" i="11"/>
  <c r="AG79" i="8" s="1"/>
  <c r="H14" s="1"/>
  <c r="C411" i="11"/>
  <c r="AN91" i="8" s="1"/>
  <c r="O24" s="1"/>
  <c r="C211" i="11"/>
  <c r="AH101" i="8" s="1"/>
  <c r="C523" i="11"/>
  <c r="AQ98" i="8" s="1"/>
  <c r="C382" i="11"/>
  <c r="AM97" i="8" s="1"/>
  <c r="C223" i="11"/>
  <c r="AI78" i="8" s="1"/>
  <c r="C558" i="11"/>
  <c r="AR98" i="8" s="1"/>
  <c r="C516" i="11"/>
  <c r="AQ91" i="8" s="1"/>
  <c r="R24" s="1"/>
  <c r="C471" i="11"/>
  <c r="AP81" i="8" s="1"/>
  <c r="Q15" s="1"/>
  <c r="C369" i="11"/>
  <c r="AM84" i="8" s="1"/>
  <c r="C585" i="11"/>
  <c r="AS90" i="8" s="1"/>
  <c r="T23" s="1"/>
  <c r="C92" i="11"/>
  <c r="AE87" i="8" s="1"/>
  <c r="F20" s="1"/>
  <c r="C520" i="11"/>
  <c r="AQ95" i="8" s="1"/>
  <c r="C232" i="11"/>
  <c r="AI87" i="8" s="1"/>
  <c r="J20" s="1"/>
  <c r="C137" i="11"/>
  <c r="AF97" i="8" s="1"/>
  <c r="C510" i="11"/>
  <c r="AQ85" i="8" s="1"/>
  <c r="C52" i="11"/>
  <c r="AD82" i="8" s="1"/>
  <c r="E31" s="1"/>
  <c r="C308" i="11"/>
  <c r="AK93" i="8" s="1"/>
  <c r="C23" i="11"/>
  <c r="AC88" i="8" s="1"/>
  <c r="D21" s="1"/>
  <c r="C338" i="11"/>
  <c r="AL88" i="8" s="1"/>
  <c r="M21" s="1"/>
  <c r="C164" i="11"/>
  <c r="AG89" i="8" s="1"/>
  <c r="H22" s="1"/>
  <c r="C562" i="11"/>
  <c r="AR102" i="8" s="1"/>
  <c r="C503" i="11"/>
  <c r="AQ78" i="8" s="1"/>
  <c r="C335" i="11"/>
  <c r="AL85" i="8" s="1"/>
  <c r="C507" i="11"/>
  <c r="AQ82" i="8" s="1"/>
  <c r="R31" s="1"/>
  <c r="C292" i="11"/>
  <c r="AK77" i="8" s="1"/>
  <c r="C93" i="11"/>
  <c r="AE88" i="8" s="1"/>
  <c r="F21" s="1"/>
  <c r="C277" i="11"/>
  <c r="AJ97" i="8" s="1"/>
  <c r="K28" s="1"/>
  <c r="C442" i="11"/>
  <c r="AO87" i="8" s="1"/>
  <c r="P20" s="1"/>
  <c r="C367" i="11"/>
  <c r="AM82" i="8" s="1"/>
  <c r="N31" s="1"/>
  <c r="C187" i="11"/>
  <c r="AH77" i="8" s="1"/>
  <c r="C372" i="11"/>
  <c r="AM87" i="8" s="1"/>
  <c r="N20" s="1"/>
  <c r="C293" i="11"/>
  <c r="AK78" i="8" s="1"/>
  <c r="C376" i="11"/>
  <c r="AM91" i="8" s="1"/>
  <c r="N24" s="1"/>
  <c r="C586" i="11"/>
  <c r="AS91" i="8" s="1"/>
  <c r="T24" s="1"/>
  <c r="C511" i="11"/>
  <c r="AQ86" i="8" s="1"/>
  <c r="C332" i="11"/>
  <c r="AL82" i="8" s="1"/>
  <c r="M31" s="1"/>
  <c r="C34" i="11"/>
  <c r="AC99" i="8" s="1"/>
  <c r="C380" i="11"/>
  <c r="AM95" i="8" s="1"/>
  <c r="C538" i="11"/>
  <c r="AR78" i="8" s="1"/>
  <c r="C188" i="11"/>
  <c r="AH78" i="8" s="1"/>
  <c r="C331" i="11"/>
  <c r="AL81" i="8" s="1"/>
  <c r="M15" s="1"/>
  <c r="C242" i="11"/>
  <c r="AI97" i="8" s="1"/>
  <c r="C630" i="11"/>
  <c r="AT100" i="8" s="1"/>
  <c r="C312" i="11"/>
  <c r="AK97" i="8" s="1"/>
  <c r="C443" i="11"/>
  <c r="AO88" i="8" s="1"/>
  <c r="P21" s="1"/>
  <c r="C230" i="11"/>
  <c r="AI85" i="8" s="1"/>
  <c r="C438" i="11"/>
  <c r="AO83" i="8" s="1"/>
  <c r="C508" i="11"/>
  <c r="AQ83" i="8" s="1"/>
  <c r="C581" i="11"/>
  <c r="AS86" i="8" s="1"/>
  <c r="C48" i="11"/>
  <c r="AD78" i="8" s="1"/>
  <c r="C330" i="11"/>
  <c r="AL80" i="8" s="1"/>
  <c r="M30" s="1"/>
  <c r="C237" i="11"/>
  <c r="AI92" i="8" s="1"/>
  <c r="C512" i="11"/>
  <c r="AQ87" i="8" s="1"/>
  <c r="R20" s="1"/>
  <c r="C201" i="11"/>
  <c r="AH91" i="8" s="1"/>
  <c r="I24" s="1"/>
  <c r="C86" i="11"/>
  <c r="AE81" i="8" s="1"/>
  <c r="F15" s="1"/>
  <c r="C107" i="11"/>
  <c r="AE102" i="8" s="1"/>
  <c r="C167" i="11"/>
  <c r="AG92" i="8" s="1"/>
  <c r="C485" i="11"/>
  <c r="AP95" i="8" s="1"/>
  <c r="C592" i="11"/>
  <c r="AS97" i="8" s="1"/>
  <c r="C262" i="11"/>
  <c r="AJ82" i="8" s="1"/>
  <c r="K31" s="1"/>
  <c r="C31" i="11"/>
  <c r="AC96" i="8" s="1"/>
  <c r="C525" i="11"/>
  <c r="AQ100" i="8" s="1"/>
  <c r="C151" i="11"/>
  <c r="AG76" i="8" s="1"/>
  <c r="C483" i="11"/>
  <c r="AP93" i="8" s="1"/>
  <c r="C196" i="11"/>
  <c r="AH86" i="8" s="1"/>
  <c r="I19" s="1"/>
  <c r="C537" i="11"/>
  <c r="AR77" i="8" s="1"/>
  <c r="C120" i="11"/>
  <c r="AF80" i="8" s="1"/>
  <c r="G30" s="1"/>
  <c r="C593" i="11"/>
  <c r="AS98" i="8" s="1"/>
  <c r="C155" i="11"/>
  <c r="AG80" i="8" s="1"/>
  <c r="H30" s="1"/>
  <c r="C131" i="11"/>
  <c r="AF91" i="8" s="1"/>
  <c r="G24" s="1"/>
  <c r="C561" i="11"/>
  <c r="AR101" i="8" s="1"/>
  <c r="C484" i="11"/>
  <c r="AP94" i="8" s="1"/>
  <c r="C198" i="11"/>
  <c r="AH88" i="8" s="1"/>
  <c r="I21" s="1"/>
  <c r="C189" i="11"/>
  <c r="AH79" i="8" s="1"/>
  <c r="I14" s="1"/>
  <c r="C227" i="11"/>
  <c r="AI82" i="8" s="1"/>
  <c r="J31" s="1"/>
  <c r="C221" i="11"/>
  <c r="AI76" i="8" s="1"/>
  <c r="C606" i="11"/>
  <c r="AT76" i="8" s="1"/>
  <c r="C594" i="11"/>
  <c r="AS99" i="8" s="1"/>
  <c r="C197" i="11"/>
  <c r="AH87" i="8" s="1"/>
  <c r="I20" s="1"/>
  <c r="C307" i="11"/>
  <c r="AK92" i="8" s="1"/>
  <c r="C540" i="11"/>
  <c r="AR80" i="8" s="1"/>
  <c r="S30" s="1"/>
  <c r="C541" i="11"/>
  <c r="AR81" i="8" s="1"/>
  <c r="S15" s="1"/>
  <c r="C364" i="11"/>
  <c r="AM79" i="8" s="1"/>
  <c r="N14" s="1"/>
  <c r="C451" i="11"/>
  <c r="AO96" i="8" s="1"/>
  <c r="P29" s="1"/>
  <c r="C51" i="11"/>
  <c r="AD81" i="8" s="1"/>
  <c r="E15" s="1"/>
  <c r="C207" i="11"/>
  <c r="AH97" i="8" s="1"/>
  <c r="C509" i="11"/>
  <c r="AQ84" i="8" s="1"/>
  <c r="C524" i="11"/>
  <c r="AQ99" i="8" s="1"/>
  <c r="C98" i="11"/>
  <c r="AE93" i="8" s="1"/>
  <c r="C102" i="11"/>
  <c r="AE97" i="8" s="1"/>
  <c r="C449" i="11"/>
  <c r="AO94" i="8" s="1"/>
  <c r="C457" i="11"/>
  <c r="AO102" i="8" s="1"/>
  <c r="C542" i="11"/>
  <c r="AR82" i="8" s="1"/>
  <c r="S31" s="1"/>
  <c r="C191" i="11"/>
  <c r="AH81" i="8" s="1"/>
  <c r="I15" s="1"/>
  <c r="C373" i="11"/>
  <c r="AM88" i="8" s="1"/>
  <c r="N21" s="1"/>
  <c r="C575" i="11"/>
  <c r="AS80" i="8" s="1"/>
  <c r="T30" s="1"/>
  <c r="C236" i="11"/>
  <c r="AI91" i="8" s="1"/>
  <c r="J24" s="1"/>
  <c r="C37" i="11"/>
  <c r="AC102" i="8" s="1"/>
  <c r="C82" i="11"/>
  <c r="AE77" i="8" s="1"/>
  <c r="C50" i="11"/>
  <c r="AD80" i="8" s="1"/>
  <c r="E30" s="1"/>
  <c r="C241" i="11"/>
  <c r="AI96" i="8" s="1"/>
  <c r="J29" s="1"/>
  <c r="C245" i="11"/>
  <c r="AI100" i="8" s="1"/>
  <c r="C517" i="11"/>
  <c r="AQ92" i="8" s="1"/>
  <c r="R25" s="1"/>
  <c r="C590" i="11"/>
  <c r="AS95" i="8" s="1"/>
  <c r="C243" i="11"/>
  <c r="AI98" i="8" s="1"/>
  <c r="C468" i="11"/>
  <c r="AP78" i="8" s="1"/>
  <c r="C631" i="11"/>
  <c r="AT101" i="8" s="1"/>
  <c r="C302" i="11"/>
  <c r="AK87" i="8" s="1"/>
  <c r="L20" s="1"/>
  <c r="C518" i="11"/>
  <c r="AQ93" i="8" s="1"/>
  <c r="C162" i="11"/>
  <c r="AG87" i="8" s="1"/>
  <c r="H20" s="1"/>
  <c r="C582" i="11"/>
  <c r="AS87" i="8" s="1"/>
  <c r="T20" s="1"/>
  <c r="C14" i="11"/>
  <c r="AC79" i="8" s="1"/>
  <c r="C571" i="11"/>
  <c r="AS76" i="8" s="1"/>
  <c r="C502" i="11"/>
  <c r="AQ77" i="8" s="1"/>
  <c r="C126" i="11"/>
  <c r="AF86" i="8" s="1"/>
  <c r="C159" i="11"/>
  <c r="AG84" i="8" s="1"/>
  <c r="C206" i="11"/>
  <c r="AH96" i="8" s="1"/>
  <c r="I29" s="1"/>
  <c r="C514" i="11"/>
  <c r="AQ89" i="8" s="1"/>
  <c r="R22" s="1"/>
  <c r="C192" i="11"/>
  <c r="AH82" i="8" s="1"/>
  <c r="I31" s="1"/>
  <c r="C418" i="11"/>
  <c r="AN98" i="8" s="1"/>
  <c r="C266" i="11"/>
  <c r="AJ86" i="8" s="1"/>
  <c r="C90" i="11"/>
  <c r="AE85" i="8" s="1"/>
  <c r="C226" i="11"/>
  <c r="AI81" i="8" s="1"/>
  <c r="J15" s="1"/>
  <c r="C261" i="11"/>
  <c r="AJ81" i="8" s="1"/>
  <c r="K15" s="1"/>
  <c r="C13" i="11"/>
  <c r="AC78" i="8" s="1"/>
  <c r="C454" i="11"/>
  <c r="AO99" i="8" s="1"/>
  <c r="C403" i="11"/>
  <c r="AN83" i="8" s="1"/>
  <c r="C486" i="11"/>
  <c r="AP96" i="8" s="1"/>
  <c r="Q29" s="1"/>
  <c r="C408" i="11"/>
  <c r="AN88" i="8" s="1"/>
  <c r="O21" s="1"/>
  <c r="C505" i="11"/>
  <c r="AQ80" i="8" s="1"/>
  <c r="R30" s="1"/>
  <c r="C263" i="11"/>
  <c r="AJ83" i="8" s="1"/>
  <c r="C67" i="11"/>
  <c r="AD97" i="8" s="1"/>
  <c r="C203" i="11"/>
  <c r="AH93" i="8" s="1"/>
  <c r="C473" i="11"/>
  <c r="AP83" i="8" s="1"/>
  <c r="C118" i="11"/>
  <c r="AF78" i="8" s="1"/>
  <c r="C476" i="11"/>
  <c r="AP86" i="8" s="1"/>
  <c r="C455" i="11"/>
  <c r="AO100" i="8" s="1"/>
  <c r="C135" i="11"/>
  <c r="AF95" i="8" s="1"/>
  <c r="C88" i="11"/>
  <c r="AE83" i="8" s="1"/>
  <c r="C595" i="11"/>
  <c r="AS100" i="8" s="1"/>
  <c r="C233" i="11"/>
  <c r="AI88" i="8" s="1"/>
  <c r="J21" s="1"/>
  <c r="C421" i="11"/>
  <c r="AN101" i="8" s="1"/>
  <c r="C91" i="11"/>
  <c r="AE86" i="8" s="1"/>
  <c r="C87" i="11"/>
  <c r="AE82" i="8" s="1"/>
  <c r="F31" s="1"/>
  <c r="C583" i="11"/>
  <c r="AS88" i="8" s="1"/>
  <c r="T21" s="1"/>
  <c r="C385" i="11"/>
  <c r="AM100" i="8" s="1"/>
  <c r="C12" i="11"/>
  <c r="AC77" i="8" s="1"/>
  <c r="C260" i="11"/>
  <c r="AJ80" i="8" s="1"/>
  <c r="K30" s="1"/>
  <c r="C589" i="11"/>
  <c r="AS94" i="8" s="1"/>
  <c r="C407" i="11"/>
  <c r="AN87" i="8" s="1"/>
  <c r="O20" s="1"/>
  <c r="C548" i="11"/>
  <c r="AR88" i="8" s="1"/>
  <c r="S21" s="1"/>
  <c r="C352" i="11"/>
  <c r="AL102" i="8" s="1"/>
  <c r="C122" i="11"/>
  <c r="AF82" i="8" s="1"/>
  <c r="G31" s="1"/>
  <c r="C81" i="11"/>
  <c r="AE76" i="8" s="1"/>
  <c r="G598" i="11"/>
  <c r="J353"/>
  <c r="H423"/>
  <c r="J250"/>
  <c r="J249" s="1"/>
  <c r="J248" s="1"/>
  <c r="I493"/>
  <c r="H493"/>
  <c r="C124"/>
  <c r="AF84" i="8" s="1"/>
  <c r="H73" i="11"/>
  <c r="K335"/>
  <c r="K230"/>
  <c r="C474"/>
  <c r="AP84" i="8" s="1"/>
  <c r="J474" i="11"/>
  <c r="C439"/>
  <c r="AO84" i="8" s="1"/>
  <c r="J439" i="11"/>
  <c r="H458"/>
  <c r="C404"/>
  <c r="AN84" i="8" s="1"/>
  <c r="J404" i="11"/>
  <c r="J283"/>
  <c r="K264"/>
  <c r="H283"/>
  <c r="J124"/>
  <c r="I143"/>
  <c r="I108"/>
  <c r="C89"/>
  <c r="AE84" i="8" s="1"/>
  <c r="J108" i="11"/>
  <c r="K89"/>
  <c r="J54"/>
  <c r="I73"/>
  <c r="C528" l="1"/>
  <c r="AQ103" i="8" s="1"/>
  <c r="R49" s="1"/>
  <c r="R55" s="1"/>
  <c r="R41" s="1"/>
  <c r="S32"/>
  <c r="G32"/>
  <c r="H50"/>
  <c r="D29"/>
  <c r="C29"/>
  <c r="E32"/>
  <c r="N32"/>
  <c r="C598" i="11"/>
  <c r="AS103" i="8" s="1"/>
  <c r="T49" s="1"/>
  <c r="T55" s="1"/>
  <c r="C108" i="11"/>
  <c r="AE103" i="8" s="1"/>
  <c r="F49" s="1"/>
  <c r="F55" s="1"/>
  <c r="C283" i="11"/>
  <c r="AJ103" i="8" s="1"/>
  <c r="K49" s="1"/>
  <c r="K55" s="1"/>
  <c r="C493" i="11"/>
  <c r="AP103" i="8" s="1"/>
  <c r="Q49" s="1"/>
  <c r="Q55" s="1"/>
  <c r="C178" i="11"/>
  <c r="AG103" i="8" s="1"/>
  <c r="H49" s="1"/>
  <c r="H55" s="1"/>
  <c r="C39" i="11"/>
  <c r="AC104" i="8" s="1"/>
  <c r="C49" s="1"/>
  <c r="C213" i="11"/>
  <c r="AH103" i="8" s="1"/>
  <c r="I49" s="1"/>
  <c r="I55" s="1"/>
  <c r="C73" i="11"/>
  <c r="AD103" i="8" s="1"/>
  <c r="E49" s="1"/>
  <c r="E55" s="1"/>
  <c r="E40" s="1"/>
  <c r="C616" i="11"/>
  <c r="AT86" i="8" s="1"/>
  <c r="U19" s="1"/>
  <c r="C628" i="11"/>
  <c r="AT98" i="8" s="1"/>
  <c r="U36" s="1"/>
  <c r="C423" i="11"/>
  <c r="AN103" i="8" s="1"/>
  <c r="O49" s="1"/>
  <c r="O55" s="1"/>
  <c r="C563" i="11"/>
  <c r="AR103" i="8" s="1"/>
  <c r="S49" s="1"/>
  <c r="S55" s="1"/>
  <c r="C318" i="11"/>
  <c r="AK103" i="8" s="1"/>
  <c r="L49" s="1"/>
  <c r="L50" s="1"/>
  <c r="C388" i="11"/>
  <c r="AM103" i="8" s="1"/>
  <c r="N49" s="1"/>
  <c r="N50" s="1"/>
  <c r="C143" i="11"/>
  <c r="AF103" i="8" s="1"/>
  <c r="G49" s="1"/>
  <c r="G50" s="1"/>
  <c r="C458" i="11"/>
  <c r="AO103" i="8" s="1"/>
  <c r="P49" s="1"/>
  <c r="P50" s="1"/>
  <c r="C353" i="11"/>
  <c r="AL103" i="8" s="1"/>
  <c r="M49" s="1"/>
  <c r="M55" s="1"/>
  <c r="Q16"/>
  <c r="Q32"/>
  <c r="R16"/>
  <c r="R32"/>
  <c r="M16"/>
  <c r="M32"/>
  <c r="L16"/>
  <c r="L32"/>
  <c r="H16"/>
  <c r="H32"/>
  <c r="L17"/>
  <c r="L33"/>
  <c r="U18"/>
  <c r="U34"/>
  <c r="H18"/>
  <c r="H34"/>
  <c r="Q18"/>
  <c r="Q34"/>
  <c r="P16"/>
  <c r="P32"/>
  <c r="K17"/>
  <c r="K33"/>
  <c r="O16"/>
  <c r="O32"/>
  <c r="J16"/>
  <c r="J32"/>
  <c r="N17"/>
  <c r="N33"/>
  <c r="G17"/>
  <c r="G33"/>
  <c r="S17"/>
  <c r="S33"/>
  <c r="G18"/>
  <c r="G34"/>
  <c r="J17"/>
  <c r="J33"/>
  <c r="P18"/>
  <c r="P34"/>
  <c r="H26"/>
  <c r="I17"/>
  <c r="I33"/>
  <c r="Q17"/>
  <c r="Q33"/>
  <c r="S18"/>
  <c r="S34"/>
  <c r="C27"/>
  <c r="D27"/>
  <c r="T17"/>
  <c r="T33"/>
  <c r="C32"/>
  <c r="D32"/>
  <c r="F17"/>
  <c r="F33"/>
  <c r="O17"/>
  <c r="O33"/>
  <c r="F16"/>
  <c r="F32"/>
  <c r="K16"/>
  <c r="K32"/>
  <c r="C33"/>
  <c r="D33"/>
  <c r="U16"/>
  <c r="U32"/>
  <c r="C30"/>
  <c r="D30"/>
  <c r="J18"/>
  <c r="J34"/>
  <c r="R17"/>
  <c r="R33"/>
  <c r="M18"/>
  <c r="M34"/>
  <c r="M17"/>
  <c r="M33"/>
  <c r="U17"/>
  <c r="U33"/>
  <c r="P17"/>
  <c r="P33"/>
  <c r="H17"/>
  <c r="H33"/>
  <c r="C31"/>
  <c r="D31"/>
  <c r="T16"/>
  <c r="T32"/>
  <c r="E17"/>
  <c r="E33"/>
  <c r="I16"/>
  <c r="I32"/>
  <c r="C620" i="11"/>
  <c r="AT90" i="8" s="1"/>
  <c r="U23" s="1"/>
  <c r="Q35"/>
  <c r="C623" i="11"/>
  <c r="AT93" i="8" s="1"/>
  <c r="U26" s="1"/>
  <c r="M35"/>
  <c r="C622" i="11"/>
  <c r="AT92" i="8" s="1"/>
  <c r="U25" s="1"/>
  <c r="O35"/>
  <c r="H35"/>
  <c r="I35"/>
  <c r="N35"/>
  <c r="T35"/>
  <c r="F35"/>
  <c r="D35"/>
  <c r="P35"/>
  <c r="L35"/>
  <c r="R35"/>
  <c r="J35"/>
  <c r="C621" i="11"/>
  <c r="AT91" i="8" s="1"/>
  <c r="U24" s="1"/>
  <c r="K35"/>
  <c r="G35"/>
  <c r="C624" i="11"/>
  <c r="AT94" i="8" s="1"/>
  <c r="U27" s="1"/>
  <c r="S35"/>
  <c r="E35"/>
  <c r="C617" i="11"/>
  <c r="AT87" i="8" s="1"/>
  <c r="U20" s="1"/>
  <c r="C38" i="11"/>
  <c r="AC103" i="8" s="1"/>
  <c r="D49" s="1"/>
  <c r="C627" i="11"/>
  <c r="AT97" i="8" s="1"/>
  <c r="U30" s="1"/>
  <c r="D17"/>
  <c r="C17"/>
  <c r="D15"/>
  <c r="C15"/>
  <c r="D16"/>
  <c r="C16"/>
  <c r="C26"/>
  <c r="D26"/>
  <c r="J625" i="11"/>
  <c r="K625" s="1"/>
  <c r="L625" s="1"/>
  <c r="M625" s="1"/>
  <c r="N625" s="1"/>
  <c r="C625"/>
  <c r="AT95" i="8" s="1"/>
  <c r="U28" s="1"/>
  <c r="H633" i="11"/>
  <c r="C14" i="8"/>
  <c r="D14"/>
  <c r="C626" i="11"/>
  <c r="AT96" i="8" s="1"/>
  <c r="U29" s="1"/>
  <c r="F633" i="11"/>
  <c r="H249"/>
  <c r="H248" s="1"/>
  <c r="J618"/>
  <c r="K618" s="1"/>
  <c r="L618" s="1"/>
  <c r="M618" s="1"/>
  <c r="N618" s="1"/>
  <c r="C618"/>
  <c r="AT88" i="8" s="1"/>
  <c r="U21" s="1"/>
  <c r="F249" i="11"/>
  <c r="F248" s="1"/>
  <c r="J616"/>
  <c r="I633"/>
  <c r="I249"/>
  <c r="I248" s="1"/>
  <c r="G249"/>
  <c r="G248" s="1"/>
  <c r="G633"/>
  <c r="C619"/>
  <c r="AT89" i="8" s="1"/>
  <c r="U22" s="1"/>
  <c r="K353" i="11"/>
  <c r="L335"/>
  <c r="K250"/>
  <c r="L230"/>
  <c r="J493"/>
  <c r="K474"/>
  <c r="J458"/>
  <c r="K439"/>
  <c r="J423"/>
  <c r="K404"/>
  <c r="K283"/>
  <c r="L264"/>
  <c r="J143"/>
  <c r="K124"/>
  <c r="K108"/>
  <c r="L89"/>
  <c r="J73"/>
  <c r="K54"/>
  <c r="C51" i="8" l="1"/>
  <c r="D50"/>
  <c r="D51"/>
  <c r="M50"/>
  <c r="F50"/>
  <c r="R40"/>
  <c r="T50"/>
  <c r="O50"/>
  <c r="R42"/>
  <c r="I50"/>
  <c r="S50"/>
  <c r="Q50"/>
  <c r="R50"/>
  <c r="K50"/>
  <c r="E50"/>
  <c r="D60"/>
  <c r="C55"/>
  <c r="C40" s="1"/>
  <c r="CC49"/>
  <c r="C68" s="1"/>
  <c r="T42"/>
  <c r="T40"/>
  <c r="M42"/>
  <c r="M40"/>
  <c r="K42"/>
  <c r="K40"/>
  <c r="O42"/>
  <c r="O40"/>
  <c r="S42"/>
  <c r="S40"/>
  <c r="I42"/>
  <c r="I40"/>
  <c r="Q42"/>
  <c r="Q40"/>
  <c r="H42"/>
  <c r="H40"/>
  <c r="F42"/>
  <c r="F40"/>
  <c r="E42"/>
  <c r="E41"/>
  <c r="T60"/>
  <c r="T64" s="1"/>
  <c r="Q41"/>
  <c r="H41"/>
  <c r="T41"/>
  <c r="C50"/>
  <c r="I41"/>
  <c r="K41"/>
  <c r="F41"/>
  <c r="Q60"/>
  <c r="Q62" s="1"/>
  <c r="H60"/>
  <c r="H63" s="1"/>
  <c r="I60"/>
  <c r="I61" s="1"/>
  <c r="K60"/>
  <c r="K64" s="1"/>
  <c r="R60"/>
  <c r="R61" s="1"/>
  <c r="F60"/>
  <c r="F63" s="1"/>
  <c r="E60"/>
  <c r="E64" s="1"/>
  <c r="M60"/>
  <c r="M62" s="1"/>
  <c r="O60"/>
  <c r="O64" s="1"/>
  <c r="O41"/>
  <c r="L60"/>
  <c r="L63" s="1"/>
  <c r="L55"/>
  <c r="L40" s="1"/>
  <c r="N60"/>
  <c r="N64" s="1"/>
  <c r="N55"/>
  <c r="N40" s="1"/>
  <c r="M41"/>
  <c r="S41"/>
  <c r="G60"/>
  <c r="G64" s="1"/>
  <c r="G55"/>
  <c r="G40" s="1"/>
  <c r="D55"/>
  <c r="D40" s="1"/>
  <c r="P60"/>
  <c r="P64" s="1"/>
  <c r="P55"/>
  <c r="P40" s="1"/>
  <c r="S60"/>
  <c r="S62" s="1"/>
  <c r="S37"/>
  <c r="S44" s="1"/>
  <c r="C633" i="11"/>
  <c r="AT103" i="8" s="1"/>
  <c r="U49" s="1"/>
  <c r="U50" s="1"/>
  <c r="C248" i="11"/>
  <c r="AI103" i="8" s="1"/>
  <c r="J49" s="1"/>
  <c r="J50" s="1"/>
  <c r="K37"/>
  <c r="K44" s="1"/>
  <c r="T37"/>
  <c r="T44" s="1"/>
  <c r="Q37"/>
  <c r="Q44" s="1"/>
  <c r="I37"/>
  <c r="I44" s="1"/>
  <c r="E37"/>
  <c r="E44" s="1"/>
  <c r="L37"/>
  <c r="L44" s="1"/>
  <c r="O37"/>
  <c r="O44" s="1"/>
  <c r="G37"/>
  <c r="G44" s="1"/>
  <c r="P37"/>
  <c r="P44" s="1"/>
  <c r="R37"/>
  <c r="R44" s="1"/>
  <c r="H37"/>
  <c r="H44" s="1"/>
  <c r="F37"/>
  <c r="F44" s="1"/>
  <c r="M37"/>
  <c r="M44" s="1"/>
  <c r="J37"/>
  <c r="J44" s="1"/>
  <c r="N37"/>
  <c r="N44" s="1"/>
  <c r="U35"/>
  <c r="U37" s="1"/>
  <c r="U44" s="1"/>
  <c r="C37"/>
  <c r="D37"/>
  <c r="K616" i="11"/>
  <c r="J633"/>
  <c r="L353"/>
  <c r="M335"/>
  <c r="K249"/>
  <c r="K248" s="1"/>
  <c r="L250"/>
  <c r="M230"/>
  <c r="L474"/>
  <c r="K493"/>
  <c r="K458"/>
  <c r="L439"/>
  <c r="L404"/>
  <c r="K423"/>
  <c r="L283"/>
  <c r="M264"/>
  <c r="K143"/>
  <c r="L124"/>
  <c r="L108"/>
  <c r="K73"/>
  <c r="L54"/>
  <c r="C52" i="8" l="1"/>
  <c r="D52"/>
  <c r="R45"/>
  <c r="R47" s="1"/>
  <c r="C42"/>
  <c r="C41"/>
  <c r="C44"/>
  <c r="CC37"/>
  <c r="C66" s="1"/>
  <c r="T45"/>
  <c r="T47" s="1"/>
  <c r="E45"/>
  <c r="E47" s="1"/>
  <c r="H45"/>
  <c r="H47" s="1"/>
  <c r="Q45"/>
  <c r="Q47" s="1"/>
  <c r="K45"/>
  <c r="K47" s="1"/>
  <c r="T63"/>
  <c r="T62"/>
  <c r="T61"/>
  <c r="D63"/>
  <c r="D61"/>
  <c r="F45"/>
  <c r="F47" s="1"/>
  <c r="I45"/>
  <c r="I47" s="1"/>
  <c r="I62"/>
  <c r="I64"/>
  <c r="Q64"/>
  <c r="Q61"/>
  <c r="Q63"/>
  <c r="N63"/>
  <c r="F61"/>
  <c r="I63"/>
  <c r="H62"/>
  <c r="H61"/>
  <c r="H64"/>
  <c r="F62"/>
  <c r="F64"/>
  <c r="R64"/>
  <c r="R62"/>
  <c r="R63"/>
  <c r="K61"/>
  <c r="K62"/>
  <c r="K63"/>
  <c r="O61"/>
  <c r="E63"/>
  <c r="E61"/>
  <c r="E62"/>
  <c r="G62"/>
  <c r="G61"/>
  <c r="P61"/>
  <c r="P62"/>
  <c r="N61"/>
  <c r="N62"/>
  <c r="M63"/>
  <c r="M64"/>
  <c r="S64"/>
  <c r="M61"/>
  <c r="S61"/>
  <c r="G63"/>
  <c r="S63"/>
  <c r="O62"/>
  <c r="O63"/>
  <c r="O45"/>
  <c r="O47" s="1"/>
  <c r="M45"/>
  <c r="M47" s="1"/>
  <c r="S45"/>
  <c r="S47" s="1"/>
  <c r="U60"/>
  <c r="U63" s="1"/>
  <c r="U55"/>
  <c r="U40" s="1"/>
  <c r="G42"/>
  <c r="G41"/>
  <c r="P42"/>
  <c r="P41"/>
  <c r="D64"/>
  <c r="L61"/>
  <c r="J60"/>
  <c r="J63" s="1"/>
  <c r="J55"/>
  <c r="J40" s="1"/>
  <c r="L42"/>
  <c r="L41"/>
  <c r="D42"/>
  <c r="D41"/>
  <c r="N42"/>
  <c r="N41"/>
  <c r="L64"/>
  <c r="P63"/>
  <c r="D62"/>
  <c r="L62"/>
  <c r="K633" i="11"/>
  <c r="L616"/>
  <c r="D44" i="8"/>
  <c r="N353" i="11"/>
  <c r="M353"/>
  <c r="L249"/>
  <c r="L248" s="1"/>
  <c r="N230"/>
  <c r="N250" s="1"/>
  <c r="M250"/>
  <c r="L493"/>
  <c r="L458"/>
  <c r="M439"/>
  <c r="M404"/>
  <c r="L423"/>
  <c r="N264"/>
  <c r="N283" s="1"/>
  <c r="M283"/>
  <c r="L143"/>
  <c r="M124"/>
  <c r="M108"/>
  <c r="N108"/>
  <c r="L73"/>
  <c r="M54"/>
  <c r="CC52" i="8" l="1"/>
  <c r="C69" s="1"/>
  <c r="C45"/>
  <c r="C47" s="1"/>
  <c r="J62"/>
  <c r="G45"/>
  <c r="G47" s="1"/>
  <c r="L45"/>
  <c r="L47" s="1"/>
  <c r="J64"/>
  <c r="P45"/>
  <c r="P47" s="1"/>
  <c r="N45"/>
  <c r="N47" s="1"/>
  <c r="J42"/>
  <c r="J41"/>
  <c r="U61"/>
  <c r="U42"/>
  <c r="U41"/>
  <c r="D45"/>
  <c r="D47" s="1"/>
  <c r="U64"/>
  <c r="U62"/>
  <c r="J61"/>
  <c r="M616" i="11"/>
  <c r="L633"/>
  <c r="M249"/>
  <c r="M248" s="1"/>
  <c r="N249"/>
  <c r="N248" s="1"/>
  <c r="N493"/>
  <c r="M493"/>
  <c r="M458"/>
  <c r="N439"/>
  <c r="N458" s="1"/>
  <c r="M423"/>
  <c r="N404"/>
  <c r="N423" s="1"/>
  <c r="M143"/>
  <c r="N124"/>
  <c r="N143" s="1"/>
  <c r="N54"/>
  <c r="N73" s="1"/>
  <c r="M73"/>
  <c r="CC47" i="8" l="1"/>
  <c r="C67" s="1"/>
  <c r="J45"/>
  <c r="J47" s="1"/>
  <c r="U45"/>
  <c r="U47" s="1"/>
  <c r="N616" i="11"/>
  <c r="N633" s="1"/>
  <c r="M633"/>
</calcChain>
</file>

<file path=xl/comments1.xml><?xml version="1.0" encoding="utf-8"?>
<comments xmlns="http://schemas.openxmlformats.org/spreadsheetml/2006/main">
  <authors>
    <author>JA</author>
  </authors>
  <commentList>
    <comment ref="C11" authorId="0">
      <text>
        <r>
          <rPr>
            <b/>
            <sz val="8"/>
            <color indexed="81"/>
            <rFont val="Tahoma"/>
            <family val="2"/>
          </rPr>
          <t>RETENCIÓN IRPF
Introducir el % de retención que te corresponda. En la web http://www.aeat.es, lo puedes calcular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<sst xmlns="http://schemas.openxmlformats.org/spreadsheetml/2006/main" count="1464" uniqueCount="119">
  <si>
    <t>Nivel</t>
  </si>
  <si>
    <t>Grupo</t>
  </si>
  <si>
    <t>Sueldo Base</t>
  </si>
  <si>
    <t xml:space="preserve">Trienios </t>
  </si>
  <si>
    <t xml:space="preserve">Complemento Destino </t>
  </si>
  <si>
    <t>Complemento Específico</t>
  </si>
  <si>
    <t>Residencia Isla Capitalina</t>
  </si>
  <si>
    <t>Residencia Isla No Capitalina</t>
  </si>
  <si>
    <t>Trienios Residencia Isla No Capitalina</t>
  </si>
  <si>
    <t>MUFACE</t>
  </si>
  <si>
    <t>N</t>
  </si>
  <si>
    <t>Trienios</t>
  </si>
  <si>
    <t>GASTOS</t>
  </si>
  <si>
    <t>S</t>
  </si>
  <si>
    <t>% Retención IRPF</t>
  </si>
  <si>
    <t>DESCUENTOS</t>
  </si>
  <si>
    <t>Clases Pasivas</t>
  </si>
  <si>
    <t>A1</t>
  </si>
  <si>
    <t>SUELDO BRUTO ANUAL</t>
  </si>
  <si>
    <t>SUELDO MENSUAL LIQUIDO A PERCIBIR</t>
  </si>
  <si>
    <t>Cuerpo Docente</t>
  </si>
  <si>
    <t>Funcionario</t>
  </si>
  <si>
    <t xml:space="preserve">Maestro de Primero y Segundo de la ESO </t>
  </si>
  <si>
    <t>Nómina con Paga Extraordinaria</t>
  </si>
  <si>
    <t xml:space="preserve">Destino en Isla No Capitalina  </t>
  </si>
  <si>
    <t xml:space="preserve">% de retención de IRPF  </t>
  </si>
  <si>
    <t>1º Sexenio</t>
  </si>
  <si>
    <t>2º Sexenio</t>
  </si>
  <si>
    <t>3º Sexenio</t>
  </si>
  <si>
    <t>4º Sexenio</t>
  </si>
  <si>
    <t>5º Sexenio</t>
  </si>
  <si>
    <t>Años de Servicio a efectos de trienios</t>
  </si>
  <si>
    <t>Tutoría</t>
  </si>
  <si>
    <t>Carrera</t>
  </si>
  <si>
    <t>Interino</t>
  </si>
  <si>
    <t>Andalucía</t>
  </si>
  <si>
    <t>Aragón</t>
  </si>
  <si>
    <t>Asturias</t>
  </si>
  <si>
    <t>Baleares (Islas)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</si>
  <si>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</si>
  <si>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</si>
  <si>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</si>
  <si>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</si>
  <si>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</si>
  <si>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</si>
  <si>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</si>
  <si>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</si>
  <si>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</si>
  <si>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</si>
  <si>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</si>
  <si>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</si>
  <si>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</si>
  <si>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</si>
  <si>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</si>
  <si>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</si>
  <si>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</si>
  <si>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</si>
  <si>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</si>
  <si>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</si>
  <si>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</si>
  <si>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</si>
  <si>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</si>
  <si>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Elaborado por DOCENTES DE CANARIAS-INSUCAN</t>
  </si>
  <si>
    <t>Castilla La Mancha</t>
  </si>
  <si>
    <t>Extra Sueldo Base</t>
  </si>
  <si>
    <t>Extra Trienio</t>
  </si>
  <si>
    <t>Complemento Específico Autonómico</t>
  </si>
  <si>
    <t>Complemento Específico General</t>
  </si>
  <si>
    <t>Baleares</t>
  </si>
  <si>
    <t>La Rioja</t>
  </si>
  <si>
    <t>Madrid</t>
  </si>
  <si>
    <t>Murcia</t>
  </si>
  <si>
    <t>Valencia</t>
  </si>
  <si>
    <t>Ceuta y Melilla</t>
  </si>
  <si>
    <t>Navarra</t>
  </si>
  <si>
    <t>Tutor</t>
  </si>
  <si>
    <t>Sin Sexenio</t>
  </si>
  <si>
    <t>Adicional maestros 1º y 2º ESO</t>
  </si>
  <si>
    <t>Productividad semestral (Murcia)</t>
  </si>
  <si>
    <t>Otros</t>
  </si>
  <si>
    <t>Sin sexenio</t>
  </si>
  <si>
    <t>Complemento mejora/especial dedicación</t>
  </si>
  <si>
    <t>Reducción 3% (Castilla la Mancha)</t>
  </si>
  <si>
    <t>5 años</t>
  </si>
  <si>
    <t>10 años</t>
  </si>
  <si>
    <t>15 años</t>
  </si>
  <si>
    <t>20 años</t>
  </si>
  <si>
    <t>25 años</t>
  </si>
  <si>
    <t>30 años</t>
  </si>
  <si>
    <t>35 años</t>
  </si>
  <si>
    <t>13 años y 2 meses</t>
  </si>
  <si>
    <t>19 años y 9 meses</t>
  </si>
  <si>
    <t>26 años y 4 meses</t>
  </si>
  <si>
    <t>32 años y 11 meses</t>
  </si>
  <si>
    <t>39 años y 6 meses</t>
  </si>
  <si>
    <t>6 años y 7 meses</t>
  </si>
  <si>
    <t xml:space="preserve">Trienios Residencia </t>
  </si>
  <si>
    <r>
      <rPr>
        <sz val="9"/>
        <color indexed="8"/>
        <rFont val="Verdana"/>
        <family val="2"/>
      </rPr>
      <t xml:space="preserve">Elaborado por </t>
    </r>
    <r>
      <rPr>
        <b/>
        <sz val="9"/>
        <color indexed="8"/>
        <rFont val="Verdana"/>
        <family val="2"/>
      </rPr>
      <t>DOCENTES DE CANARIAS-INSUCAN</t>
    </r>
  </si>
  <si>
    <t>Seleccionar lo que corresponda</t>
  </si>
  <si>
    <t>Canarias con sexenios perdidos</t>
  </si>
  <si>
    <t>Comparación con sueldo actual de Canarias. Isla Capitalina</t>
  </si>
  <si>
    <t>SUELDO BRUTO MENSUAL</t>
  </si>
  <si>
    <t>Trienio Residencia</t>
  </si>
  <si>
    <t>Residencia</t>
  </si>
  <si>
    <t>Cuota sindical DOCENTES DE CANARIAS-INSUCAN</t>
  </si>
  <si>
    <t>Nómina mensual 2015</t>
  </si>
  <si>
    <t>Elaborado por DOCENTES DE CANARIAS-INSUCAN - CSIF</t>
  </si>
  <si>
    <t>Nómina Actual</t>
  </si>
  <si>
    <t>Nómina con los sexenios perdidos</t>
  </si>
  <si>
    <t>Retención IRPF</t>
  </si>
  <si>
    <t>PERDIDO</t>
  </si>
  <si>
    <t xml:space="preserve">Lo que estás perdiendo actualemente son: </t>
  </si>
  <si>
    <t>euros mensuales netos</t>
  </si>
  <si>
    <t>euros mensuales brutos</t>
  </si>
  <si>
    <t>euros anuales netos</t>
  </si>
  <si>
    <t>euros anuales brutos</t>
  </si>
  <si>
    <t xml:space="preserve">Recordamos que solo DOCENTES DE CANARIAS-INSUCAN -CSIF y CC.OO. fuimos los únicos que de forma clara defendimos los sexenios. </t>
  </si>
  <si>
    <t>Los que hicieron campaña para engañar al profesorado y rechazasen los sexenios fueron:  STEC-IC, UCPL, FETE-UGT y EACanarias (COBAS). Y los partidos PSOE, IU y SI SE PUEDE</t>
  </si>
  <si>
    <t>Las sexenios se hubiesen podido comenzar a cobrar desde enero del 2008, es decir ya son 8 años</t>
  </si>
</sst>
</file>

<file path=xl/styles.xml><?xml version="1.0" encoding="utf-8"?>
<styleSheet xmlns="http://schemas.openxmlformats.org/spreadsheetml/2006/main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.00_ ;[Red]\-#,##0.00\ "/>
    <numFmt numFmtId="166" formatCode="#,##0.0"/>
  </numFmts>
  <fonts count="33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9"/>
      <name val="Verdana"/>
      <family val="2"/>
    </font>
    <font>
      <sz val="10"/>
      <name val="Arial"/>
    </font>
    <font>
      <sz val="9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10"/>
      <color theme="1"/>
      <name val="Verdana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22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wrapText="1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13" fillId="4" borderId="3" xfId="0" applyFont="1" applyFill="1" applyBorder="1" applyAlignment="1" applyProtection="1">
      <alignment horizontal="left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hidden="1"/>
    </xf>
    <xf numFmtId="4" fontId="11" fillId="3" borderId="5" xfId="3" applyNumberFormat="1" applyFont="1" applyFill="1" applyBorder="1" applyAlignment="1" applyProtection="1">
      <alignment horizontal="center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5" fillId="6" borderId="2" xfId="0" applyFont="1" applyFill="1" applyBorder="1" applyAlignment="1" applyProtection="1">
      <alignment horizontal="left" vertical="center" wrapText="1"/>
      <protection hidden="1"/>
    </xf>
    <xf numFmtId="0" fontId="11" fillId="0" borderId="2" xfId="0" applyFont="1" applyBorder="1" applyProtection="1">
      <protection hidden="1"/>
    </xf>
    <xf numFmtId="0" fontId="16" fillId="0" borderId="0" xfId="0" applyFont="1" applyAlignment="1" applyProtection="1">
      <alignment horizontal="center" vertical="center"/>
      <protection hidden="1"/>
    </xf>
    <xf numFmtId="3" fontId="11" fillId="3" borderId="6" xfId="3" applyNumberFormat="1" applyFont="1" applyFill="1" applyBorder="1" applyAlignment="1" applyProtection="1">
      <alignment horizontal="center"/>
      <protection hidden="1"/>
    </xf>
    <xf numFmtId="4" fontId="11" fillId="3" borderId="2" xfId="3" applyNumberFormat="1" applyFont="1" applyFill="1" applyBorder="1" applyAlignment="1" applyProtection="1">
      <alignment horizontal="center" vertical="center"/>
      <protection hidden="1"/>
    </xf>
    <xf numFmtId="4" fontId="11" fillId="3" borderId="2" xfId="3" applyNumberFormat="1" applyFont="1" applyFill="1" applyBorder="1" applyAlignment="1" applyProtection="1">
      <alignment horizontal="center"/>
      <protection hidden="1"/>
    </xf>
    <xf numFmtId="0" fontId="11" fillId="3" borderId="2" xfId="0" applyFont="1" applyFill="1" applyBorder="1" applyProtection="1">
      <protection hidden="1"/>
    </xf>
    <xf numFmtId="8" fontId="11" fillId="0" borderId="2" xfId="0" applyNumberFormat="1" applyFont="1" applyBorder="1" applyProtection="1">
      <protection hidden="1"/>
    </xf>
    <xf numFmtId="0" fontId="11" fillId="7" borderId="2" xfId="0" applyFont="1" applyFill="1" applyBorder="1" applyProtection="1">
      <protection hidden="1"/>
    </xf>
    <xf numFmtId="0" fontId="11" fillId="8" borderId="2" xfId="0" applyFont="1" applyFill="1" applyBorder="1" applyProtection="1">
      <protection hidden="1"/>
    </xf>
    <xf numFmtId="0" fontId="17" fillId="0" borderId="2" xfId="0" applyFont="1" applyBorder="1" applyProtection="1"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4" fillId="3" borderId="2" xfId="0" applyFont="1" applyFill="1" applyBorder="1" applyAlignment="1" applyProtection="1">
      <alignment horizontal="center" vertical="center" wrapText="1"/>
      <protection hidden="1"/>
    </xf>
    <xf numFmtId="0" fontId="15" fillId="3" borderId="2" xfId="0" applyFont="1" applyFill="1" applyBorder="1" applyAlignment="1" applyProtection="1">
      <alignment horizontal="left" vertical="center" wrapText="1"/>
      <protection hidden="1"/>
    </xf>
    <xf numFmtId="0" fontId="15" fillId="7" borderId="2" xfId="0" applyFont="1" applyFill="1" applyBorder="1" applyAlignment="1" applyProtection="1">
      <alignment horizontal="left" vertical="center" wrapText="1"/>
      <protection hidden="1"/>
    </xf>
    <xf numFmtId="0" fontId="15" fillId="9" borderId="2" xfId="0" applyFont="1" applyFill="1" applyBorder="1" applyAlignment="1" applyProtection="1">
      <alignment horizontal="left" vertical="center" wrapText="1"/>
      <protection hidden="1"/>
    </xf>
    <xf numFmtId="0" fontId="15" fillId="10" borderId="2" xfId="0" applyFont="1" applyFill="1" applyBorder="1" applyAlignment="1" applyProtection="1">
      <alignment horizontal="left" vertical="center" wrapText="1"/>
      <protection hidden="1"/>
    </xf>
    <xf numFmtId="0" fontId="15" fillId="11" borderId="2" xfId="0" applyFont="1" applyFill="1" applyBorder="1" applyAlignment="1" applyProtection="1">
      <alignment horizontal="left" vertical="center" wrapText="1"/>
      <protection hidden="1"/>
    </xf>
    <xf numFmtId="0" fontId="11" fillId="11" borderId="2" xfId="0" applyFont="1" applyFill="1" applyBorder="1" applyProtection="1">
      <protection hidden="1"/>
    </xf>
    <xf numFmtId="0" fontId="14" fillId="12" borderId="2" xfId="0" applyFont="1" applyFill="1" applyBorder="1" applyAlignment="1" applyProtection="1">
      <alignment horizontal="left" vertical="center" wrapText="1"/>
      <protection hidden="1"/>
    </xf>
    <xf numFmtId="4" fontId="11" fillId="7" borderId="5" xfId="3" applyNumberFormat="1" applyFont="1" applyFill="1" applyBorder="1" applyAlignment="1" applyProtection="1">
      <alignment horizontal="center"/>
      <protection hidden="1"/>
    </xf>
    <xf numFmtId="0" fontId="18" fillId="3" borderId="0" xfId="0" applyFont="1" applyFill="1" applyProtection="1">
      <protection hidden="1"/>
    </xf>
    <xf numFmtId="0" fontId="7" fillId="4" borderId="3" xfId="0" applyFont="1" applyFill="1" applyBorder="1" applyAlignment="1" applyProtection="1">
      <alignment horizontal="left" vertical="center"/>
      <protection hidden="1"/>
    </xf>
    <xf numFmtId="0" fontId="18" fillId="3" borderId="0" xfId="0" applyFont="1" applyFill="1" applyAlignment="1" applyProtection="1">
      <alignment vertical="center"/>
      <protection hidden="1"/>
    </xf>
    <xf numFmtId="0" fontId="18" fillId="4" borderId="3" xfId="0" applyFont="1" applyFill="1" applyBorder="1" applyAlignment="1" applyProtection="1">
      <alignment horizontal="left" vertical="center"/>
      <protection hidden="1"/>
    </xf>
    <xf numFmtId="0" fontId="7" fillId="4" borderId="4" xfId="0" applyFont="1" applyFill="1" applyBorder="1" applyAlignment="1" applyProtection="1">
      <alignment horizontal="left" vertical="center"/>
      <protection hidden="1"/>
    </xf>
    <xf numFmtId="0" fontId="7" fillId="4" borderId="2" xfId="0" applyFont="1" applyFill="1" applyBorder="1" applyAlignment="1" applyProtection="1">
      <alignment horizontal="left" vertical="center"/>
      <protection hidden="1"/>
    </xf>
    <xf numFmtId="0" fontId="18" fillId="3" borderId="0" xfId="0" applyFont="1" applyFill="1" applyBorder="1" applyProtection="1"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13" borderId="2" xfId="0" applyFont="1" applyFill="1" applyBorder="1" applyAlignment="1" applyProtection="1">
      <alignment horizontal="left" wrapText="1"/>
      <protection hidden="1"/>
    </xf>
    <xf numFmtId="165" fontId="7" fillId="5" borderId="7" xfId="0" applyNumberFormat="1" applyFont="1" applyFill="1" applyBorder="1" applyAlignment="1" applyProtection="1">
      <alignment horizontal="right" vertical="center" wrapText="1" indent="1"/>
      <protection hidden="1"/>
    </xf>
    <xf numFmtId="0" fontId="20" fillId="6" borderId="2" xfId="0" applyFont="1" applyFill="1" applyBorder="1" applyAlignment="1" applyProtection="1">
      <alignment horizontal="left" vertical="center" wrapText="1"/>
      <protection hidden="1"/>
    </xf>
    <xf numFmtId="165" fontId="7" fillId="5" borderId="5" xfId="0" applyNumberFormat="1" applyFont="1" applyFill="1" applyBorder="1" applyAlignment="1" applyProtection="1">
      <alignment horizontal="right" vertical="center" wrapText="1" indent="1"/>
      <protection hidden="1"/>
    </xf>
    <xf numFmtId="165" fontId="7" fillId="5" borderId="2" xfId="0" applyNumberFormat="1" applyFont="1" applyFill="1" applyBorder="1" applyAlignment="1" applyProtection="1">
      <alignment horizontal="right" vertical="center" wrapText="1" indent="1"/>
      <protection hidden="1"/>
    </xf>
    <xf numFmtId="0" fontId="20" fillId="7" borderId="2" xfId="0" applyFont="1" applyFill="1" applyBorder="1" applyAlignment="1" applyProtection="1">
      <alignment horizontal="left" vertical="center" wrapText="1"/>
      <protection hidden="1"/>
    </xf>
    <xf numFmtId="0" fontId="20" fillId="9" borderId="2" xfId="0" applyFont="1" applyFill="1" applyBorder="1" applyAlignment="1" applyProtection="1">
      <alignment horizontal="left" vertical="center" wrapText="1"/>
      <protection hidden="1"/>
    </xf>
    <xf numFmtId="0" fontId="7" fillId="13" borderId="3" xfId="0" applyFont="1" applyFill="1" applyBorder="1" applyAlignment="1" applyProtection="1">
      <alignment horizontal="left" wrapText="1"/>
      <protection hidden="1"/>
    </xf>
    <xf numFmtId="0" fontId="20" fillId="10" borderId="2" xfId="0" applyFont="1" applyFill="1" applyBorder="1" applyAlignment="1" applyProtection="1">
      <alignment horizontal="left" vertical="center" wrapText="1"/>
      <protection hidden="1"/>
    </xf>
    <xf numFmtId="0" fontId="20" fillId="11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center" wrapText="1"/>
      <protection hidden="1"/>
    </xf>
    <xf numFmtId="165" fontId="21" fillId="2" borderId="2" xfId="0" applyNumberFormat="1" applyFont="1" applyFill="1" applyBorder="1" applyAlignment="1" applyProtection="1">
      <alignment horizontal="center"/>
      <protection hidden="1"/>
    </xf>
    <xf numFmtId="9" fontId="18" fillId="3" borderId="0" xfId="4" applyFont="1" applyFill="1" applyBorder="1" applyProtection="1">
      <protection hidden="1"/>
    </xf>
    <xf numFmtId="0" fontId="22" fillId="14" borderId="13" xfId="0" applyFont="1" applyFill="1" applyBorder="1" applyAlignment="1" applyProtection="1">
      <alignment horizontal="left" wrapText="1"/>
      <protection hidden="1"/>
    </xf>
    <xf numFmtId="0" fontId="22" fillId="14" borderId="14" xfId="0" applyFont="1" applyFill="1" applyBorder="1" applyAlignment="1" applyProtection="1">
      <alignment horizontal="left" wrapText="1"/>
      <protection hidden="1"/>
    </xf>
    <xf numFmtId="0" fontId="22" fillId="14" borderId="13" xfId="0" applyFont="1" applyFill="1" applyBorder="1" applyAlignment="1" applyProtection="1">
      <alignment horizontal="left" vertical="center" wrapText="1"/>
      <protection hidden="1"/>
    </xf>
    <xf numFmtId="0" fontId="21" fillId="9" borderId="3" xfId="0" applyFont="1" applyFill="1" applyBorder="1" applyAlignment="1" applyProtection="1">
      <alignment horizontal="center"/>
      <protection hidden="1"/>
    </xf>
    <xf numFmtId="164" fontId="18" fillId="3" borderId="0" xfId="4" applyNumberFormat="1" applyFont="1" applyFill="1" applyBorder="1" applyProtection="1">
      <protection hidden="1"/>
    </xf>
    <xf numFmtId="0" fontId="7" fillId="2" borderId="2" xfId="0" applyFont="1" applyFill="1" applyBorder="1" applyAlignment="1" applyProtection="1">
      <alignment horizontal="center" wrapText="1"/>
      <protection hidden="1"/>
    </xf>
    <xf numFmtId="0" fontId="19" fillId="0" borderId="0" xfId="0" applyFont="1" applyProtection="1">
      <protection hidden="1"/>
    </xf>
    <xf numFmtId="0" fontId="19" fillId="0" borderId="2" xfId="0" applyFont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horizontal="center" wrapText="1"/>
      <protection hidden="1"/>
    </xf>
    <xf numFmtId="0" fontId="24" fillId="3" borderId="3" xfId="0" applyFont="1" applyFill="1" applyBorder="1" applyAlignment="1" applyProtection="1">
      <alignment horizontal="center" vertical="center" wrapText="1"/>
      <protection hidden="1"/>
    </xf>
    <xf numFmtId="0" fontId="20" fillId="6" borderId="3" xfId="0" applyFont="1" applyFill="1" applyBorder="1" applyAlignment="1" applyProtection="1">
      <alignment horizontal="left" vertical="center" wrapText="1"/>
      <protection hidden="1"/>
    </xf>
    <xf numFmtId="165" fontId="19" fillId="0" borderId="2" xfId="2" applyNumberFormat="1" applyFont="1" applyBorder="1" applyAlignment="1" applyProtection="1">
      <alignment horizontal="right"/>
      <protection hidden="1"/>
    </xf>
    <xf numFmtId="0" fontId="20" fillId="7" borderId="3" xfId="0" applyFont="1" applyFill="1" applyBorder="1" applyAlignment="1" applyProtection="1">
      <alignment horizontal="left" vertical="center" wrapText="1"/>
      <protection hidden="1"/>
    </xf>
    <xf numFmtId="0" fontId="20" fillId="9" borderId="3" xfId="0" applyFont="1" applyFill="1" applyBorder="1" applyAlignment="1" applyProtection="1">
      <alignment horizontal="left" vertical="center" wrapText="1"/>
      <protection hidden="1"/>
    </xf>
    <xf numFmtId="0" fontId="19" fillId="3" borderId="0" xfId="0" applyFont="1" applyFill="1" applyProtection="1">
      <protection hidden="1"/>
    </xf>
    <xf numFmtId="0" fontId="20" fillId="10" borderId="3" xfId="0" applyFont="1" applyFill="1" applyBorder="1" applyAlignment="1" applyProtection="1">
      <alignment horizontal="left" vertical="center" wrapText="1"/>
      <protection hidden="1"/>
    </xf>
    <xf numFmtId="0" fontId="20" fillId="11" borderId="3" xfId="0" applyFont="1" applyFill="1" applyBorder="1" applyAlignment="1" applyProtection="1">
      <alignment horizontal="left" vertical="center" wrapText="1"/>
      <protection hidden="1"/>
    </xf>
    <xf numFmtId="0" fontId="19" fillId="11" borderId="3" xfId="0" applyFont="1" applyFill="1" applyBorder="1" applyProtection="1">
      <protection hidden="1"/>
    </xf>
    <xf numFmtId="0" fontId="19" fillId="8" borderId="3" xfId="0" applyFont="1" applyFill="1" applyBorder="1" applyProtection="1">
      <protection hidden="1"/>
    </xf>
    <xf numFmtId="0" fontId="24" fillId="12" borderId="3" xfId="0" applyFont="1" applyFill="1" applyBorder="1" applyAlignment="1" applyProtection="1">
      <alignment horizontal="left" vertical="center" wrapText="1"/>
      <protection hidden="1"/>
    </xf>
    <xf numFmtId="8" fontId="18" fillId="3" borderId="0" xfId="0" applyNumberFormat="1" applyFont="1" applyFill="1" applyProtection="1">
      <protection hidden="1"/>
    </xf>
    <xf numFmtId="0" fontId="18" fillId="3" borderId="2" xfId="0" applyFont="1" applyFill="1" applyBorder="1" applyAlignment="1" applyProtection="1">
      <alignment horizontal="center" vertical="center" wrapText="1"/>
      <protection hidden="1"/>
    </xf>
    <xf numFmtId="165" fontId="5" fillId="3" borderId="2" xfId="0" applyNumberFormat="1" applyFont="1" applyFill="1" applyBorder="1" applyAlignment="1" applyProtection="1">
      <alignment horizontal="right" vertical="center" wrapText="1" indent="1"/>
      <protection hidden="1"/>
    </xf>
    <xf numFmtId="0" fontId="11" fillId="3" borderId="0" xfId="0" applyFont="1" applyFill="1" applyProtection="1">
      <protection hidden="1"/>
    </xf>
    <xf numFmtId="165" fontId="7" fillId="3" borderId="2" xfId="0" applyNumberFormat="1" applyFont="1" applyFill="1" applyBorder="1" applyAlignment="1" applyProtection="1">
      <alignment horizontal="right" vertical="center" wrapText="1" indent="1"/>
      <protection hidden="1"/>
    </xf>
    <xf numFmtId="0" fontId="7" fillId="7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NumberForma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/>
      <protection hidden="1"/>
    </xf>
    <xf numFmtId="165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7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wrapText="1"/>
      <protection hidden="1"/>
    </xf>
    <xf numFmtId="165" fontId="5" fillId="5" borderId="2" xfId="0" applyNumberFormat="1" applyFont="1" applyFill="1" applyBorder="1" applyAlignment="1" applyProtection="1">
      <alignment horizontal="right" vertical="center" wrapText="1" indent="1"/>
      <protection hidden="1"/>
    </xf>
    <xf numFmtId="0" fontId="28" fillId="8" borderId="15" xfId="0" applyFont="1" applyFill="1" applyBorder="1" applyAlignment="1" applyProtection="1">
      <alignment horizontal="center" vertical="center"/>
      <protection hidden="1"/>
    </xf>
    <xf numFmtId="0" fontId="18" fillId="3" borderId="16" xfId="0" applyFont="1" applyFill="1" applyBorder="1" applyProtection="1">
      <protection hidden="1"/>
    </xf>
    <xf numFmtId="166" fontId="28" fillId="8" borderId="17" xfId="0" applyNumberFormat="1" applyFont="1" applyFill="1" applyBorder="1" applyAlignment="1" applyProtection="1">
      <alignment horizontal="center" vertical="center"/>
      <protection hidden="1"/>
    </xf>
    <xf numFmtId="0" fontId="21" fillId="3" borderId="16" xfId="0" applyFont="1" applyFill="1" applyBorder="1" applyProtection="1">
      <protection hidden="1"/>
    </xf>
    <xf numFmtId="166" fontId="28" fillId="8" borderId="18" xfId="0" applyNumberFormat="1" applyFont="1" applyFill="1" applyBorder="1" applyAlignment="1" applyProtection="1">
      <alignment horizontal="center" vertical="center"/>
      <protection hidden="1"/>
    </xf>
    <xf numFmtId="165" fontId="5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0" fontId="29" fillId="3" borderId="2" xfId="0" applyFont="1" applyFill="1" applyBorder="1" applyAlignment="1" applyProtection="1">
      <alignment horizontal="center" vertical="center"/>
      <protection hidden="1"/>
    </xf>
    <xf numFmtId="166" fontId="32" fillId="3" borderId="2" xfId="0" applyNumberFormat="1" applyFont="1" applyFill="1" applyBorder="1" applyAlignment="1" applyProtection="1">
      <alignment horizontal="center" vertical="center"/>
      <protection hidden="1"/>
    </xf>
    <xf numFmtId="0" fontId="29" fillId="3" borderId="2" xfId="0" applyFont="1" applyFill="1" applyBorder="1" applyAlignment="1" applyProtection="1">
      <alignment horizontal="left" vertical="center"/>
      <protection hidden="1"/>
    </xf>
    <xf numFmtId="0" fontId="21" fillId="5" borderId="1" xfId="0" applyFont="1" applyFill="1" applyBorder="1" applyAlignment="1" applyProtection="1">
      <alignment horizontal="center" vertical="center"/>
      <protection hidden="1"/>
    </xf>
    <xf numFmtId="0" fontId="21" fillId="5" borderId="8" xfId="0" applyFont="1" applyFill="1" applyBorder="1" applyAlignment="1" applyProtection="1">
      <alignment horizontal="center" vertical="center"/>
      <protection hidden="1"/>
    </xf>
    <xf numFmtId="0" fontId="21" fillId="5" borderId="6" xfId="0" applyFont="1" applyFill="1" applyBorder="1" applyAlignment="1" applyProtection="1">
      <alignment horizontal="center" vertical="center"/>
      <protection hidden="1"/>
    </xf>
    <xf numFmtId="0" fontId="21" fillId="5" borderId="9" xfId="0" applyFont="1" applyFill="1" applyBorder="1" applyAlignment="1" applyProtection="1">
      <alignment horizontal="center" vertical="center"/>
      <protection hidden="1"/>
    </xf>
    <xf numFmtId="0" fontId="21" fillId="5" borderId="10" xfId="0" applyFont="1" applyFill="1" applyBorder="1" applyAlignment="1" applyProtection="1">
      <alignment horizontal="center" vertical="center"/>
      <protection hidden="1"/>
    </xf>
    <xf numFmtId="0" fontId="21" fillId="5" borderId="11" xfId="0" applyFont="1" applyFill="1" applyBorder="1" applyAlignment="1" applyProtection="1">
      <alignment horizontal="center" vertical="center"/>
      <protection hidden="1"/>
    </xf>
    <xf numFmtId="0" fontId="7" fillId="16" borderId="0" xfId="0" applyFont="1" applyFill="1" applyBorder="1" applyAlignment="1" applyProtection="1">
      <alignment horizontal="center"/>
      <protection hidden="1"/>
    </xf>
    <xf numFmtId="0" fontId="5" fillId="17" borderId="9" xfId="0" applyFont="1" applyFill="1" applyBorder="1" applyAlignment="1" applyProtection="1">
      <alignment horizontal="center" wrapText="1"/>
      <protection hidden="1"/>
    </xf>
    <xf numFmtId="0" fontId="5" fillId="17" borderId="10" xfId="0" applyFont="1" applyFill="1" applyBorder="1" applyAlignment="1" applyProtection="1">
      <alignment horizontal="center" wrapText="1"/>
      <protection hidden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1" fontId="5" fillId="3" borderId="2" xfId="0" applyNumberFormat="1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5" fillId="15" borderId="0" xfId="0" applyFont="1" applyFill="1" applyAlignment="1" applyProtection="1">
      <alignment horizontal="center" vertical="center" wrapText="1"/>
      <protection hidden="1"/>
    </xf>
    <xf numFmtId="9" fontId="5" fillId="3" borderId="2" xfId="0" applyNumberFormat="1" applyFont="1" applyFill="1" applyBorder="1" applyAlignment="1" applyProtection="1">
      <alignment horizontal="center" vertical="center"/>
      <protection locked="0"/>
    </xf>
    <xf numFmtId="10" fontId="5" fillId="3" borderId="2" xfId="0" applyNumberFormat="1" applyFont="1" applyFill="1" applyBorder="1" applyAlignment="1" applyProtection="1">
      <alignment horizontal="center" vertical="center"/>
      <protection locked="0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9" fillId="3" borderId="2" xfId="0" applyFont="1" applyFill="1" applyBorder="1" applyAlignment="1" applyProtection="1">
      <alignment horizontal="left" vertical="center"/>
      <protection hidden="1"/>
    </xf>
    <xf numFmtId="0" fontId="13" fillId="7" borderId="2" xfId="0" applyFont="1" applyFill="1" applyBorder="1" applyAlignment="1" applyProtection="1">
      <alignment horizontal="center" vertical="center" wrapText="1"/>
      <protection hidden="1"/>
    </xf>
    <xf numFmtId="0" fontId="31" fillId="15" borderId="2" xfId="0" applyFont="1" applyFill="1" applyBorder="1" applyAlignment="1" applyProtection="1">
      <alignment horizontal="center" vertical="center" wrapText="1"/>
      <protection hidden="1"/>
    </xf>
    <xf numFmtId="0" fontId="18" fillId="3" borderId="2" xfId="0" applyFont="1" applyFill="1" applyBorder="1" applyAlignment="1" applyProtection="1">
      <alignment horizontal="center" vertical="center" wrapText="1"/>
      <protection hidden="1"/>
    </xf>
    <xf numFmtId="0" fontId="30" fillId="15" borderId="2" xfId="0" applyFont="1" applyFill="1" applyBorder="1" applyAlignment="1" applyProtection="1">
      <alignment horizontal="center" vertical="center"/>
      <protection hidden="1"/>
    </xf>
    <xf numFmtId="0" fontId="27" fillId="15" borderId="2" xfId="0" applyFont="1" applyFill="1" applyBorder="1" applyAlignment="1" applyProtection="1">
      <alignment horizontal="center" vertical="center" wrapText="1"/>
      <protection hidden="1"/>
    </xf>
    <xf numFmtId="0" fontId="27" fillId="15" borderId="19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21" fillId="5" borderId="3" xfId="0" applyFont="1" applyFill="1" applyBorder="1" applyAlignment="1" applyProtection="1">
      <alignment horizontal="center" vertical="center"/>
      <protection hidden="1"/>
    </xf>
    <xf numFmtId="0" fontId="19" fillId="0" borderId="12" xfId="0" applyFont="1" applyBorder="1" applyProtection="1">
      <protection hidden="1"/>
    </xf>
    <xf numFmtId="0" fontId="19" fillId="0" borderId="5" xfId="0" applyFont="1" applyBorder="1" applyProtection="1">
      <protection hidden="1"/>
    </xf>
  </cellXfs>
  <cellStyles count="5">
    <cellStyle name="Euro" xfId="1"/>
    <cellStyle name="Millares" xfId="2" builtinId="3"/>
    <cellStyle name="Moneda" xfId="3" builtinId="4"/>
    <cellStyle name="Normal" xfId="0" builtinId="0"/>
    <cellStyle name="Porcentual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120"/>
  <sheetViews>
    <sheetView tabSelected="1" showWhiteSpace="0" zoomScale="95" zoomScaleNormal="95" workbookViewId="0">
      <selection activeCell="C4" sqref="C4:F4"/>
    </sheetView>
  </sheetViews>
  <sheetFormatPr baseColWidth="10" defaultRowHeight="12.95" customHeight="1"/>
  <cols>
    <col min="1" max="1" width="1.28515625" style="34" customWidth="1"/>
    <col min="2" max="2" width="48.5703125" style="34" customWidth="1"/>
    <col min="3" max="3" width="19" style="34" customWidth="1"/>
    <col min="4" max="4" width="21.85546875" style="34" customWidth="1"/>
    <col min="5" max="7" width="12" style="34" hidden="1" customWidth="1"/>
    <col min="8" max="8" width="13.28515625" style="34" hidden="1" customWidth="1"/>
    <col min="9" max="10" width="12" style="34" hidden="1" customWidth="1"/>
    <col min="11" max="11" width="12.85546875" style="34" hidden="1" customWidth="1"/>
    <col min="12" max="12" width="12" style="61" hidden="1" customWidth="1"/>
    <col min="13" max="13" width="12.5703125" style="61" hidden="1" customWidth="1"/>
    <col min="14" max="18" width="12" style="61" hidden="1" customWidth="1"/>
    <col min="19" max="19" width="12.28515625" style="61" hidden="1" customWidth="1"/>
    <col min="20" max="21" width="12" style="61" hidden="1" customWidth="1"/>
    <col min="22" max="22" width="20.140625" style="61" hidden="1" customWidth="1"/>
    <col min="23" max="24" width="0" style="61" hidden="1" customWidth="1"/>
    <col min="25" max="25" width="2.28515625" style="34" hidden="1" customWidth="1"/>
    <col min="26" max="26" width="3.28515625" style="34" hidden="1" customWidth="1"/>
    <col min="27" max="27" width="41" style="34" hidden="1" customWidth="1"/>
    <col min="28" max="28" width="34.7109375" style="34" hidden="1" customWidth="1"/>
    <col min="29" max="34" width="11.42578125" style="34" hidden="1" customWidth="1"/>
    <col min="35" max="35" width="15.7109375" style="34" hidden="1" customWidth="1"/>
    <col min="36" max="36" width="12.28515625" style="34" hidden="1" customWidth="1"/>
    <col min="37" max="43" width="11.42578125" style="34" hidden="1" customWidth="1"/>
    <col min="44" max="44" width="12.7109375" style="34" hidden="1" customWidth="1"/>
    <col min="45" max="46" width="11.42578125" style="34" hidden="1" customWidth="1"/>
    <col min="47" max="80" width="0" style="34" hidden="1" customWidth="1"/>
    <col min="81" max="81" width="33.140625" style="34" customWidth="1"/>
    <col min="82" max="16384" width="11.42578125" style="34"/>
  </cols>
  <sheetData>
    <row r="1" spans="1:81" ht="11.25">
      <c r="B1" s="100" t="s">
        <v>105</v>
      </c>
      <c r="C1" s="101"/>
      <c r="D1" s="101"/>
      <c r="E1" s="102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81" ht="11.25">
      <c r="B2" s="103" t="s">
        <v>106</v>
      </c>
      <c r="C2" s="104"/>
      <c r="D2" s="104"/>
      <c r="E2" s="105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81" ht="3.75" customHeight="1"/>
    <row r="4" spans="1:81" ht="18.95" customHeight="1">
      <c r="B4" s="35" t="s">
        <v>20</v>
      </c>
      <c r="C4" s="109" t="s">
        <v>60</v>
      </c>
      <c r="D4" s="109"/>
      <c r="E4" s="109"/>
      <c r="F4" s="109"/>
      <c r="G4" s="115" t="s">
        <v>98</v>
      </c>
      <c r="H4" s="115"/>
      <c r="J4" s="112" t="s">
        <v>62</v>
      </c>
      <c r="K4" s="112"/>
      <c r="L4" s="112"/>
      <c r="M4" s="112"/>
      <c r="N4" s="112"/>
      <c r="O4" s="112"/>
      <c r="P4" s="112"/>
      <c r="CC4" s="119"/>
    </row>
    <row r="5" spans="1:81" ht="17.100000000000001" customHeight="1">
      <c r="B5" s="35" t="s">
        <v>21</v>
      </c>
      <c r="C5" s="123" t="s">
        <v>34</v>
      </c>
      <c r="D5" s="123"/>
      <c r="F5" s="36"/>
      <c r="G5" s="115"/>
      <c r="H5" s="115"/>
      <c r="J5" s="112"/>
      <c r="K5" s="112"/>
      <c r="L5" s="112"/>
      <c r="M5" s="112"/>
      <c r="N5" s="112"/>
      <c r="O5" s="112"/>
      <c r="P5" s="112"/>
      <c r="CC5" s="119"/>
    </row>
    <row r="6" spans="1:81" ht="17.100000000000001" customHeight="1">
      <c r="B6" s="35" t="s">
        <v>31</v>
      </c>
      <c r="C6" s="110">
        <v>18</v>
      </c>
      <c r="D6" s="110"/>
      <c r="F6" s="36"/>
      <c r="G6" s="115"/>
      <c r="H6" s="115"/>
      <c r="J6" s="112"/>
      <c r="K6" s="112"/>
      <c r="L6" s="112"/>
      <c r="M6" s="112"/>
      <c r="N6" s="112"/>
      <c r="O6" s="112"/>
      <c r="P6" s="112"/>
      <c r="CC6" s="119"/>
    </row>
    <row r="7" spans="1:81" ht="17.100000000000001" hidden="1" customHeight="1">
      <c r="B7" s="35" t="s">
        <v>22</v>
      </c>
      <c r="C7" s="111" t="s">
        <v>10</v>
      </c>
      <c r="D7" s="111"/>
      <c r="F7" s="36"/>
      <c r="G7" s="115"/>
      <c r="H7" s="115"/>
      <c r="J7" s="112"/>
      <c r="K7" s="112"/>
      <c r="L7" s="112"/>
      <c r="M7" s="112"/>
      <c r="N7" s="112"/>
      <c r="O7" s="112"/>
      <c r="P7" s="112"/>
      <c r="CC7" s="119"/>
    </row>
    <row r="8" spans="1:81" ht="17.100000000000001" hidden="1" customHeight="1">
      <c r="B8" s="37" t="s">
        <v>23</v>
      </c>
      <c r="C8" s="113" t="s">
        <v>10</v>
      </c>
      <c r="D8" s="113"/>
      <c r="F8" s="36"/>
      <c r="G8" s="115"/>
      <c r="H8" s="115"/>
      <c r="J8" s="112"/>
      <c r="K8" s="112"/>
      <c r="L8" s="112"/>
      <c r="M8" s="112"/>
      <c r="N8" s="112"/>
      <c r="O8" s="112"/>
      <c r="P8" s="112"/>
      <c r="CC8" s="119"/>
    </row>
    <row r="9" spans="1:81" ht="17.100000000000001" customHeight="1">
      <c r="B9" s="38" t="s">
        <v>24</v>
      </c>
      <c r="C9" s="113" t="s">
        <v>10</v>
      </c>
      <c r="D9" s="113"/>
      <c r="F9" s="36"/>
      <c r="G9" s="115"/>
      <c r="H9" s="115"/>
      <c r="J9" s="112"/>
      <c r="K9" s="112"/>
      <c r="L9" s="112"/>
      <c r="M9" s="112"/>
      <c r="N9" s="112"/>
      <c r="O9" s="112"/>
      <c r="P9" s="112"/>
      <c r="CC9" s="119"/>
    </row>
    <row r="10" spans="1:81" ht="17.100000000000001" hidden="1" customHeight="1">
      <c r="B10" s="39" t="s">
        <v>75</v>
      </c>
      <c r="C10" s="113" t="s">
        <v>10</v>
      </c>
      <c r="D10" s="113"/>
      <c r="F10" s="36"/>
      <c r="G10" s="115"/>
      <c r="H10" s="115"/>
      <c r="J10" s="112"/>
      <c r="K10" s="112"/>
      <c r="L10" s="112"/>
      <c r="M10" s="112"/>
      <c r="N10" s="112"/>
      <c r="O10" s="112"/>
      <c r="P10" s="112"/>
      <c r="CC10" s="119"/>
    </row>
    <row r="11" spans="1:81" ht="17.100000000000001" customHeight="1">
      <c r="B11" s="35" t="s">
        <v>25</v>
      </c>
      <c r="C11" s="114">
        <v>0.19</v>
      </c>
      <c r="D11" s="114"/>
      <c r="H11" s="40"/>
      <c r="I11" s="40"/>
      <c r="J11" s="40"/>
      <c r="K11" s="40"/>
      <c r="CC11" s="119"/>
    </row>
    <row r="12" spans="1:81" ht="6.75" customHeight="1" thickBot="1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spans="1:81" ht="27" customHeight="1">
      <c r="B13" s="40"/>
      <c r="C13" s="87" t="s">
        <v>107</v>
      </c>
      <c r="D13" s="88" t="s">
        <v>108</v>
      </c>
      <c r="E13" s="41" t="s">
        <v>35</v>
      </c>
      <c r="F13" s="41" t="s">
        <v>36</v>
      </c>
      <c r="G13" s="41" t="s">
        <v>37</v>
      </c>
      <c r="H13" s="41" t="s">
        <v>38</v>
      </c>
      <c r="I13" s="41" t="s">
        <v>40</v>
      </c>
      <c r="J13" s="41" t="s">
        <v>63</v>
      </c>
      <c r="K13" s="41" t="s">
        <v>41</v>
      </c>
      <c r="L13" s="41" t="s">
        <v>43</v>
      </c>
      <c r="M13" s="41" t="s">
        <v>45</v>
      </c>
      <c r="N13" s="41" t="s">
        <v>46</v>
      </c>
      <c r="O13" s="41" t="s">
        <v>69</v>
      </c>
      <c r="P13" s="41" t="s">
        <v>70</v>
      </c>
      <c r="Q13" s="41" t="s">
        <v>71</v>
      </c>
      <c r="R13" s="41" t="s">
        <v>72</v>
      </c>
      <c r="S13" s="41" t="s">
        <v>73</v>
      </c>
      <c r="T13" s="41" t="s">
        <v>50</v>
      </c>
      <c r="U13" s="41" t="s">
        <v>74</v>
      </c>
      <c r="V13" s="34"/>
      <c r="X13" s="34"/>
      <c r="CC13" s="91" t="s">
        <v>110</v>
      </c>
    </row>
    <row r="14" spans="1:81" ht="15" customHeight="1">
      <c r="B14" s="42" t="s">
        <v>2</v>
      </c>
      <c r="C14" s="43">
        <f>+AC79</f>
        <v>958.98</v>
      </c>
      <c r="D14" s="43">
        <f>+AC79</f>
        <v>958.98</v>
      </c>
      <c r="E14" s="43">
        <f>+AD79</f>
        <v>958.98</v>
      </c>
      <c r="F14" s="43">
        <f t="shared" ref="F14:L14" si="0">+AE79</f>
        <v>958.98</v>
      </c>
      <c r="G14" s="43">
        <f t="shared" si="0"/>
        <v>958.98</v>
      </c>
      <c r="H14" s="43">
        <f t="shared" si="0"/>
        <v>958.98</v>
      </c>
      <c r="I14" s="43">
        <f t="shared" si="0"/>
        <v>958.98</v>
      </c>
      <c r="J14" s="43">
        <f t="shared" si="0"/>
        <v>958.98</v>
      </c>
      <c r="K14" s="43">
        <f t="shared" si="0"/>
        <v>958.98</v>
      </c>
      <c r="L14" s="43">
        <f t="shared" si="0"/>
        <v>958.98</v>
      </c>
      <c r="M14" s="43">
        <f t="shared" ref="M14:U14" si="1">+AL79</f>
        <v>958.98</v>
      </c>
      <c r="N14" s="43">
        <f t="shared" si="1"/>
        <v>958.98</v>
      </c>
      <c r="O14" s="43">
        <f t="shared" si="1"/>
        <v>958.98</v>
      </c>
      <c r="P14" s="43">
        <f t="shared" si="1"/>
        <v>958.98</v>
      </c>
      <c r="Q14" s="43">
        <f t="shared" si="1"/>
        <v>958.98</v>
      </c>
      <c r="R14" s="43">
        <f t="shared" si="1"/>
        <v>958.98</v>
      </c>
      <c r="S14" s="43">
        <f t="shared" si="1"/>
        <v>958.98</v>
      </c>
      <c r="T14" s="43">
        <f t="shared" si="1"/>
        <v>958.98</v>
      </c>
      <c r="U14" s="43">
        <f t="shared" si="1"/>
        <v>1519.2</v>
      </c>
      <c r="V14" s="44" t="s">
        <v>2</v>
      </c>
      <c r="CC14" s="118" t="s">
        <v>116</v>
      </c>
    </row>
    <row r="15" spans="1:81" ht="15" customHeight="1">
      <c r="B15" s="42" t="s">
        <v>11</v>
      </c>
      <c r="C15" s="45">
        <f>AC81*INT($C$6/3)</f>
        <v>208.62</v>
      </c>
      <c r="D15" s="46">
        <f>AC81*INT($C$6/3)</f>
        <v>208.62</v>
      </c>
      <c r="E15" s="46">
        <f>AD81*INT($C$6/3)</f>
        <v>208.62</v>
      </c>
      <c r="F15" s="46">
        <f t="shared" ref="F15:L15" si="2">AE81*INT($C$6/3)</f>
        <v>208.62</v>
      </c>
      <c r="G15" s="46">
        <f t="shared" si="2"/>
        <v>208.62</v>
      </c>
      <c r="H15" s="46">
        <f t="shared" si="2"/>
        <v>208.62</v>
      </c>
      <c r="I15" s="46">
        <f t="shared" si="2"/>
        <v>208.62</v>
      </c>
      <c r="J15" s="46">
        <f t="shared" si="2"/>
        <v>208.62</v>
      </c>
      <c r="K15" s="46">
        <f t="shared" si="2"/>
        <v>208.62</v>
      </c>
      <c r="L15" s="46">
        <f t="shared" si="2"/>
        <v>208.62</v>
      </c>
      <c r="M15" s="46">
        <f t="shared" ref="M15:U15" si="3">AL81*INT($C$6/3)</f>
        <v>208.62</v>
      </c>
      <c r="N15" s="46">
        <f t="shared" si="3"/>
        <v>208.62</v>
      </c>
      <c r="O15" s="46">
        <f t="shared" si="3"/>
        <v>208.62</v>
      </c>
      <c r="P15" s="46">
        <f t="shared" si="3"/>
        <v>208.62</v>
      </c>
      <c r="Q15" s="46">
        <f t="shared" si="3"/>
        <v>208.62</v>
      </c>
      <c r="R15" s="46">
        <f t="shared" si="3"/>
        <v>208.62</v>
      </c>
      <c r="S15" s="46">
        <f t="shared" si="3"/>
        <v>208.62</v>
      </c>
      <c r="T15" s="46">
        <f t="shared" si="3"/>
        <v>208.62</v>
      </c>
      <c r="U15" s="46">
        <f t="shared" si="3"/>
        <v>0</v>
      </c>
      <c r="V15" s="44"/>
      <c r="CC15" s="118"/>
    </row>
    <row r="16" spans="1:81" s="40" customFormat="1" ht="15" customHeight="1">
      <c r="A16" s="34"/>
      <c r="B16" s="42" t="s">
        <v>4</v>
      </c>
      <c r="C16" s="45">
        <f>+AC83</f>
        <v>479.88</v>
      </c>
      <c r="D16" s="46">
        <f>+AC83</f>
        <v>479.88</v>
      </c>
      <c r="E16" s="46">
        <f>+AD83</f>
        <v>473.35</v>
      </c>
      <c r="F16" s="46">
        <f t="shared" ref="F16:L16" si="4">+AE83</f>
        <v>473.35</v>
      </c>
      <c r="G16" s="46">
        <f t="shared" si="4"/>
        <v>480.07</v>
      </c>
      <c r="H16" s="46">
        <f t="shared" si="4"/>
        <v>473.35</v>
      </c>
      <c r="I16" s="46">
        <f t="shared" si="4"/>
        <v>473.35</v>
      </c>
      <c r="J16" s="46">
        <f t="shared" si="4"/>
        <v>473.35</v>
      </c>
      <c r="K16" s="46">
        <f t="shared" si="4"/>
        <v>473.35</v>
      </c>
      <c r="L16" s="46">
        <f t="shared" si="4"/>
        <v>473.35</v>
      </c>
      <c r="M16" s="46">
        <f t="shared" ref="M16:Q18" si="5">+AL83</f>
        <v>473.35</v>
      </c>
      <c r="N16" s="46">
        <f t="shared" si="5"/>
        <v>473.35</v>
      </c>
      <c r="O16" s="46">
        <f t="shared" si="5"/>
        <v>473.35</v>
      </c>
      <c r="P16" s="46">
        <f t="shared" si="5"/>
        <v>473.35</v>
      </c>
      <c r="Q16" s="46">
        <f t="shared" si="5"/>
        <v>473.35</v>
      </c>
      <c r="R16" s="46">
        <f>+AQ83</f>
        <v>473.35</v>
      </c>
      <c r="S16" s="46">
        <f>+AR83</f>
        <v>473.35</v>
      </c>
      <c r="T16" s="46">
        <f t="shared" ref="T16:U30" si="6">+AS83</f>
        <v>560.58000000000004</v>
      </c>
      <c r="U16" s="46">
        <f t="shared" si="6"/>
        <v>0</v>
      </c>
      <c r="V16" s="44"/>
      <c r="CC16" s="118"/>
    </row>
    <row r="17" spans="1:81" s="40" customFormat="1" ht="15" customHeight="1">
      <c r="A17" s="34"/>
      <c r="B17" s="42" t="s">
        <v>67</v>
      </c>
      <c r="C17" s="45">
        <f>+AC84</f>
        <v>654.28</v>
      </c>
      <c r="D17" s="46">
        <f>+AC84</f>
        <v>654.28</v>
      </c>
      <c r="E17" s="46">
        <f>+AD84</f>
        <v>561.02</v>
      </c>
      <c r="F17" s="46">
        <f t="shared" ref="F17:L17" si="7">+AE84</f>
        <v>549.32000000000005</v>
      </c>
      <c r="G17" s="46">
        <f t="shared" si="7"/>
        <v>488.33</v>
      </c>
      <c r="H17" s="46">
        <f t="shared" si="7"/>
        <v>232.72</v>
      </c>
      <c r="I17" s="46">
        <f t="shared" si="7"/>
        <v>699.62</v>
      </c>
      <c r="J17" s="46">
        <f t="shared" si="7"/>
        <v>235.66</v>
      </c>
      <c r="K17" s="46">
        <f t="shared" si="7"/>
        <v>235.18</v>
      </c>
      <c r="L17" s="46">
        <f t="shared" si="7"/>
        <v>558.66</v>
      </c>
      <c r="M17" s="46">
        <f t="shared" si="5"/>
        <v>443.93</v>
      </c>
      <c r="N17" s="46">
        <f t="shared" si="5"/>
        <v>539.29</v>
      </c>
      <c r="O17" s="46">
        <f t="shared" si="5"/>
        <v>651.9</v>
      </c>
      <c r="P17" s="46">
        <f t="shared" si="5"/>
        <v>227.4</v>
      </c>
      <c r="Q17" s="46">
        <f t="shared" si="5"/>
        <v>295.13</v>
      </c>
      <c r="R17" s="46">
        <f>+AQ84</f>
        <v>589.49</v>
      </c>
      <c r="S17" s="46">
        <f>+AR84</f>
        <v>373.12</v>
      </c>
      <c r="T17" s="46">
        <f t="shared" si="6"/>
        <v>816.27</v>
      </c>
      <c r="U17" s="46">
        <f t="shared" si="6"/>
        <v>578.36</v>
      </c>
      <c r="V17" s="44" t="s">
        <v>5</v>
      </c>
      <c r="CC17" s="118"/>
    </row>
    <row r="18" spans="1:81" s="40" customFormat="1" ht="15" hidden="1" customHeight="1">
      <c r="A18" s="34"/>
      <c r="B18" s="42" t="s">
        <v>66</v>
      </c>
      <c r="C18" s="45"/>
      <c r="D18" s="46"/>
      <c r="E18" s="46"/>
      <c r="F18" s="46"/>
      <c r="G18" s="46">
        <f t="shared" ref="G18" si="8">+AF85</f>
        <v>132.18</v>
      </c>
      <c r="H18" s="46">
        <f>+AG85</f>
        <v>334.58</v>
      </c>
      <c r="I18" s="46"/>
      <c r="J18" s="46">
        <f>+AI85</f>
        <v>475.92</v>
      </c>
      <c r="K18" s="46">
        <f t="shared" ref="K18" si="9">+AJ85</f>
        <v>326.39</v>
      </c>
      <c r="L18" s="46"/>
      <c r="M18" s="46">
        <f t="shared" si="5"/>
        <v>155.13999999999999</v>
      </c>
      <c r="N18" s="46"/>
      <c r="O18" s="46"/>
      <c r="P18" s="46">
        <f t="shared" ref="P18" si="10">+AO85</f>
        <v>331.47</v>
      </c>
      <c r="Q18" s="46">
        <f t="shared" si="5"/>
        <v>350.08</v>
      </c>
      <c r="R18" s="46"/>
      <c r="S18" s="46">
        <f>+AR85</f>
        <v>656.16</v>
      </c>
      <c r="T18" s="46"/>
      <c r="U18" s="46">
        <f t="shared" si="6"/>
        <v>0</v>
      </c>
      <c r="V18" s="47"/>
      <c r="CC18" s="118"/>
    </row>
    <row r="19" spans="1:81" s="40" customFormat="1" ht="15" hidden="1" customHeight="1">
      <c r="A19" s="34"/>
      <c r="B19" s="42" t="s">
        <v>76</v>
      </c>
      <c r="C19" s="45"/>
      <c r="D19" s="46"/>
      <c r="E19" s="46"/>
      <c r="F19" s="46"/>
      <c r="G19" s="46"/>
      <c r="H19" s="46">
        <f>+AG86</f>
        <v>13.980000000000018</v>
      </c>
      <c r="I19" s="46">
        <f>IF($C$6&lt;6,AH86,0)</f>
        <v>0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>
        <f t="shared" si="6"/>
        <v>0</v>
      </c>
      <c r="V19" s="47" t="s">
        <v>83</v>
      </c>
      <c r="CC19" s="118"/>
    </row>
    <row r="20" spans="1:81" s="40" customFormat="1" ht="15" customHeight="1">
      <c r="A20" s="34"/>
      <c r="B20" s="42" t="s">
        <v>26</v>
      </c>
      <c r="D20" s="46">
        <f>IF($C$6&gt;5,AC87,0)</f>
        <v>90</v>
      </c>
      <c r="E20" s="46">
        <f>IF($C$6&gt;5,AD87,0)</f>
        <v>68.41</v>
      </c>
      <c r="F20" s="46">
        <f t="shared" ref="F20:L20" si="11">IF($C$6&gt;5,AE87,0)</f>
        <v>77.180000000000007</v>
      </c>
      <c r="G20" s="46">
        <f t="shared" si="11"/>
        <v>96.47</v>
      </c>
      <c r="H20" s="46">
        <f t="shared" si="11"/>
        <v>119.69999999999999</v>
      </c>
      <c r="I20" s="46">
        <f t="shared" si="11"/>
        <v>73.72</v>
      </c>
      <c r="J20" s="46">
        <f t="shared" si="11"/>
        <v>75.48</v>
      </c>
      <c r="K20" s="46">
        <f t="shared" si="11"/>
        <v>56.1</v>
      </c>
      <c r="L20" s="46">
        <f t="shared" si="11"/>
        <v>102.97</v>
      </c>
      <c r="M20" s="46">
        <f t="shared" ref="M20:T20" si="12">IF($C$6&gt;5,AL87,0)</f>
        <v>55.51</v>
      </c>
      <c r="N20" s="46">
        <f t="shared" si="12"/>
        <v>59.21</v>
      </c>
      <c r="O20" s="46">
        <f t="shared" si="12"/>
        <v>59.37</v>
      </c>
      <c r="P20" s="46">
        <f t="shared" si="12"/>
        <v>54.25</v>
      </c>
      <c r="Q20" s="46">
        <f t="shared" si="12"/>
        <v>56.3</v>
      </c>
      <c r="R20" s="46">
        <f t="shared" si="12"/>
        <v>76.97</v>
      </c>
      <c r="S20" s="46">
        <f t="shared" si="12"/>
        <v>55.51</v>
      </c>
      <c r="T20" s="46">
        <f t="shared" si="12"/>
        <v>77.36</v>
      </c>
      <c r="U20" s="46">
        <f t="shared" si="6"/>
        <v>0</v>
      </c>
      <c r="V20" s="47" t="s">
        <v>84</v>
      </c>
      <c r="CC20" s="118"/>
    </row>
    <row r="21" spans="1:81" s="40" customFormat="1" ht="15" customHeight="1">
      <c r="A21" s="34"/>
      <c r="B21" s="42" t="s">
        <v>27</v>
      </c>
      <c r="D21" s="46">
        <f>IF($C$6&gt;11,AC88,0)</f>
        <v>100</v>
      </c>
      <c r="E21" s="46">
        <f>IF($C$6&gt;11,AD88,0)</f>
        <v>79.53</v>
      </c>
      <c r="F21" s="46">
        <f t="shared" ref="F21:L21" si="13">IF($C$6&gt;11,AE88,0)</f>
        <v>91.57</v>
      </c>
      <c r="G21" s="46">
        <f t="shared" si="13"/>
        <v>70.97</v>
      </c>
      <c r="H21" s="46">
        <f t="shared" si="13"/>
        <v>105.95</v>
      </c>
      <c r="I21" s="46">
        <f t="shared" si="13"/>
        <v>73.72</v>
      </c>
      <c r="J21" s="46">
        <f t="shared" si="13"/>
        <v>70.92</v>
      </c>
      <c r="K21" s="46">
        <f t="shared" si="13"/>
        <v>70.78</v>
      </c>
      <c r="L21" s="46">
        <f t="shared" si="13"/>
        <v>108.29</v>
      </c>
      <c r="M21" s="46">
        <f t="shared" ref="M21:T21" si="14">IF($C$6&gt;11,AL88,0)</f>
        <v>70</v>
      </c>
      <c r="N21" s="46">
        <f t="shared" si="14"/>
        <v>76.13</v>
      </c>
      <c r="O21" s="46">
        <f t="shared" si="14"/>
        <v>74.92</v>
      </c>
      <c r="P21" s="46">
        <f t="shared" si="14"/>
        <v>68.430000000000007</v>
      </c>
      <c r="Q21" s="46">
        <f t="shared" si="14"/>
        <v>71.03</v>
      </c>
      <c r="R21" s="46">
        <f t="shared" si="14"/>
        <v>81</v>
      </c>
      <c r="S21" s="46">
        <f t="shared" si="14"/>
        <v>70.040000000000006</v>
      </c>
      <c r="T21" s="46">
        <f t="shared" si="14"/>
        <v>0</v>
      </c>
      <c r="U21" s="46">
        <f t="shared" si="6"/>
        <v>0</v>
      </c>
      <c r="V21" s="47" t="s">
        <v>90</v>
      </c>
      <c r="CC21" s="118"/>
    </row>
    <row r="22" spans="1:81" s="40" customFormat="1" ht="15" customHeight="1">
      <c r="A22" s="34"/>
      <c r="B22" s="42" t="s">
        <v>28</v>
      </c>
      <c r="D22" s="46">
        <f>IF($C$6&gt;17,AC89,0)</f>
        <v>115</v>
      </c>
      <c r="E22" s="46">
        <f>IF($C$6&gt;17,AD89,0)</f>
        <v>101.93</v>
      </c>
      <c r="F22" s="46">
        <f t="shared" ref="F22:L22" si="15">IF($C$6&gt;17,AE89,0)</f>
        <v>114.92</v>
      </c>
      <c r="G22" s="46">
        <f t="shared" si="15"/>
        <v>94.61</v>
      </c>
      <c r="H22" s="46">
        <f t="shared" si="15"/>
        <v>106.45</v>
      </c>
      <c r="I22" s="46">
        <f t="shared" si="15"/>
        <v>98.24</v>
      </c>
      <c r="J22" s="46">
        <f t="shared" si="15"/>
        <v>94.51</v>
      </c>
      <c r="K22" s="46">
        <f t="shared" si="15"/>
        <v>94.32</v>
      </c>
      <c r="L22" s="46">
        <f t="shared" si="15"/>
        <v>122.78</v>
      </c>
      <c r="M22" s="46">
        <f t="shared" ref="M22:T22" si="16">IF($C$6&gt;17,AL89,0)</f>
        <v>93.33</v>
      </c>
      <c r="N22" s="46">
        <f t="shared" si="16"/>
        <v>101.53</v>
      </c>
      <c r="O22" s="46">
        <f t="shared" si="16"/>
        <v>99.88</v>
      </c>
      <c r="P22" s="46">
        <f t="shared" si="16"/>
        <v>91.2</v>
      </c>
      <c r="Q22" s="46">
        <f t="shared" si="16"/>
        <v>94.66</v>
      </c>
      <c r="R22" s="46">
        <f t="shared" si="16"/>
        <v>93.24</v>
      </c>
      <c r="S22" s="46">
        <f t="shared" si="16"/>
        <v>93.33</v>
      </c>
      <c r="T22" s="46">
        <f t="shared" si="16"/>
        <v>0</v>
      </c>
      <c r="U22" s="46">
        <f t="shared" si="6"/>
        <v>0</v>
      </c>
      <c r="V22" s="47" t="s">
        <v>85</v>
      </c>
      <c r="CC22" s="118"/>
    </row>
    <row r="23" spans="1:81" s="40" customFormat="1" ht="15" customHeight="1">
      <c r="A23" s="34"/>
      <c r="B23" s="42" t="s">
        <v>29</v>
      </c>
      <c r="D23" s="46">
        <f>IF($C$6&gt;23,AC90,0)</f>
        <v>0</v>
      </c>
      <c r="E23" s="46">
        <f>IF($C$6&gt;23,AD90,0)</f>
        <v>0</v>
      </c>
      <c r="F23" s="46">
        <f t="shared" ref="F23:L23" si="17">IF($C$6&gt;23,AE90,0)</f>
        <v>0</v>
      </c>
      <c r="G23" s="46">
        <f t="shared" si="17"/>
        <v>0</v>
      </c>
      <c r="H23" s="46">
        <f t="shared" si="17"/>
        <v>0</v>
      </c>
      <c r="I23" s="46">
        <f t="shared" si="17"/>
        <v>0</v>
      </c>
      <c r="J23" s="46">
        <f t="shared" si="17"/>
        <v>0</v>
      </c>
      <c r="K23" s="46">
        <f t="shared" si="17"/>
        <v>0</v>
      </c>
      <c r="L23" s="46">
        <f t="shared" si="17"/>
        <v>0</v>
      </c>
      <c r="M23" s="46">
        <f t="shared" ref="M23:T23" si="18">IF($C$6&gt;23,AL90,0)</f>
        <v>0</v>
      </c>
      <c r="N23" s="46">
        <f t="shared" si="18"/>
        <v>0</v>
      </c>
      <c r="O23" s="46">
        <f t="shared" si="18"/>
        <v>0</v>
      </c>
      <c r="P23" s="46">
        <f t="shared" si="18"/>
        <v>0</v>
      </c>
      <c r="Q23" s="46">
        <f t="shared" si="18"/>
        <v>0</v>
      </c>
      <c r="R23" s="46">
        <f t="shared" si="18"/>
        <v>0</v>
      </c>
      <c r="S23" s="46">
        <f t="shared" si="18"/>
        <v>0</v>
      </c>
      <c r="T23" s="46">
        <f t="shared" si="18"/>
        <v>0</v>
      </c>
      <c r="U23" s="46">
        <f t="shared" si="6"/>
        <v>326.56</v>
      </c>
      <c r="V23" s="47" t="s">
        <v>91</v>
      </c>
      <c r="CC23" s="118"/>
    </row>
    <row r="24" spans="1:81" s="40" customFormat="1" ht="15" customHeight="1">
      <c r="A24" s="34"/>
      <c r="B24" s="42" t="s">
        <v>30</v>
      </c>
      <c r="D24" s="46">
        <f>IF($C$6&gt;29,AC91,0)</f>
        <v>0</v>
      </c>
      <c r="E24" s="46">
        <f>IF($C$6&gt;29,AD91,0)</f>
        <v>0</v>
      </c>
      <c r="F24" s="46">
        <f t="shared" ref="F24:L24" si="19">IF($C$6&gt;29,AE91,0)</f>
        <v>0</v>
      </c>
      <c r="G24" s="46">
        <f t="shared" si="19"/>
        <v>0</v>
      </c>
      <c r="H24" s="46">
        <f t="shared" si="19"/>
        <v>0</v>
      </c>
      <c r="I24" s="46">
        <f t="shared" si="19"/>
        <v>0</v>
      </c>
      <c r="J24" s="46">
        <f t="shared" si="19"/>
        <v>0</v>
      </c>
      <c r="K24" s="46">
        <f t="shared" si="19"/>
        <v>0</v>
      </c>
      <c r="L24" s="46">
        <f t="shared" si="19"/>
        <v>0</v>
      </c>
      <c r="M24" s="46">
        <f t="shared" ref="M24:T24" si="20">IF($C$6&gt;29,AL91,0)</f>
        <v>0</v>
      </c>
      <c r="N24" s="46">
        <f t="shared" si="20"/>
        <v>0</v>
      </c>
      <c r="O24" s="46">
        <f t="shared" si="20"/>
        <v>0</v>
      </c>
      <c r="P24" s="46">
        <f t="shared" si="20"/>
        <v>0</v>
      </c>
      <c r="Q24" s="46">
        <f t="shared" si="20"/>
        <v>0</v>
      </c>
      <c r="R24" s="46">
        <f t="shared" si="20"/>
        <v>0</v>
      </c>
      <c r="S24" s="46">
        <f t="shared" si="20"/>
        <v>0</v>
      </c>
      <c r="T24" s="46">
        <f t="shared" si="20"/>
        <v>0</v>
      </c>
      <c r="U24" s="46">
        <f t="shared" si="6"/>
        <v>0</v>
      </c>
      <c r="V24" s="47" t="s">
        <v>86</v>
      </c>
      <c r="CC24" s="118"/>
    </row>
    <row r="25" spans="1:81" s="40" customFormat="1" ht="15" hidden="1" customHeight="1">
      <c r="A25" s="34"/>
      <c r="B25" s="42" t="str">
        <f>IF(C10="s","Tutoría"," ")</f>
        <v xml:space="preserve"> </v>
      </c>
      <c r="C25" s="45" t="str">
        <f>IF(B10="s",AB92," ")</f>
        <v xml:space="preserve"> </v>
      </c>
      <c r="D25" s="46"/>
      <c r="E25" s="46" t="str">
        <f>IF($C$10="s",AD92," ")</f>
        <v xml:space="preserve"> </v>
      </c>
      <c r="F25" s="46"/>
      <c r="G25" s="46"/>
      <c r="H25" s="46"/>
      <c r="I25" s="46"/>
      <c r="J25" s="46"/>
      <c r="K25" s="46"/>
      <c r="L25" s="46"/>
      <c r="M25" s="46" t="str">
        <f t="shared" ref="M25:T25" si="21">IF($C$10="s",AL92," ")</f>
        <v xml:space="preserve"> </v>
      </c>
      <c r="N25" s="46" t="str">
        <f t="shared" si="21"/>
        <v xml:space="preserve"> </v>
      </c>
      <c r="O25" s="46"/>
      <c r="P25" s="46" t="str">
        <f t="shared" si="21"/>
        <v xml:space="preserve"> </v>
      </c>
      <c r="Q25" s="46" t="str">
        <f t="shared" si="21"/>
        <v xml:space="preserve"> </v>
      </c>
      <c r="R25" s="46" t="str">
        <f t="shared" si="21"/>
        <v xml:space="preserve"> </v>
      </c>
      <c r="S25" s="46" t="str">
        <f t="shared" si="21"/>
        <v xml:space="preserve"> </v>
      </c>
      <c r="T25" s="46" t="str">
        <f t="shared" si="21"/>
        <v xml:space="preserve"> </v>
      </c>
      <c r="U25" s="46">
        <f t="shared" si="6"/>
        <v>0</v>
      </c>
      <c r="V25" s="47" t="s">
        <v>87</v>
      </c>
      <c r="CC25" s="118"/>
    </row>
    <row r="26" spans="1:81" s="40" customFormat="1" ht="15" customHeight="1">
      <c r="A26" s="34"/>
      <c r="B26" s="42" t="s">
        <v>103</v>
      </c>
      <c r="C26" s="45">
        <f>IF($C$9="s",AC94,AC93)</f>
        <v>117.25</v>
      </c>
      <c r="D26" s="46">
        <f>IF($C$9="s",AC94,AC93)</f>
        <v>117.25</v>
      </c>
      <c r="E26" s="46"/>
      <c r="F26" s="46"/>
      <c r="G26" s="46"/>
      <c r="H26" s="46">
        <f>IF($C$9="s",AG94,AG93)</f>
        <v>73.92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>
        <f t="shared" si="6"/>
        <v>0</v>
      </c>
      <c r="V26" s="48" t="s">
        <v>92</v>
      </c>
      <c r="CC26" s="118"/>
    </row>
    <row r="27" spans="1:81" s="40" customFormat="1" ht="12" customHeight="1">
      <c r="A27" s="34"/>
      <c r="B27" s="42" t="s">
        <v>102</v>
      </c>
      <c r="C27" s="45" t="str">
        <f>IF($C$9="s",AC95*INT($C$6/3)," ")</f>
        <v xml:space="preserve"> </v>
      </c>
      <c r="D27" s="46" t="str">
        <f>IF($C$9="s",AC95*INT($C$6/3)," ")</f>
        <v xml:space="preserve"> 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5">
        <f>+AR95*INT($C$6/3)</f>
        <v>244.14</v>
      </c>
      <c r="T27" s="46"/>
      <c r="U27" s="46">
        <f t="shared" si="6"/>
        <v>0</v>
      </c>
      <c r="V27" s="48" t="s">
        <v>88</v>
      </c>
      <c r="CC27" s="118"/>
    </row>
    <row r="28" spans="1:81" ht="15" hidden="1" customHeight="1">
      <c r="B28" s="42" t="s">
        <v>81</v>
      </c>
      <c r="C28" s="45"/>
      <c r="D28" s="46"/>
      <c r="E28" s="46"/>
      <c r="F28" s="46"/>
      <c r="G28" s="46"/>
      <c r="H28" s="46">
        <f>+AG97</f>
        <v>89.26</v>
      </c>
      <c r="I28" s="46"/>
      <c r="J28" s="46"/>
      <c r="K28" s="46">
        <f>+AJ97</f>
        <v>20.18</v>
      </c>
      <c r="L28" s="46"/>
      <c r="M28" s="46">
        <f>+AL97</f>
        <v>30.35</v>
      </c>
      <c r="N28" s="46"/>
      <c r="O28" s="46"/>
      <c r="P28" s="46"/>
      <c r="Q28" s="46"/>
      <c r="R28" s="46"/>
      <c r="S28" s="46"/>
      <c r="T28" s="46"/>
      <c r="U28" s="46">
        <f t="shared" si="6"/>
        <v>0</v>
      </c>
      <c r="V28" s="48" t="s">
        <v>93</v>
      </c>
      <c r="CC28" s="92"/>
    </row>
    <row r="29" spans="1:81" ht="12" hidden="1">
      <c r="B29" s="49" t="str">
        <f>IF(C7="s","Adicional maestros 1º y 2º ESO"," ")</f>
        <v xml:space="preserve"> </v>
      </c>
      <c r="C29" s="46" t="str">
        <f>IF($C$7="s",AC96," ")</f>
        <v xml:space="preserve"> </v>
      </c>
      <c r="D29" s="46" t="str">
        <f>IF($C$7="s",AC96," ")</f>
        <v xml:space="preserve"> </v>
      </c>
      <c r="E29" s="46" t="str">
        <f>IF($C$7="s",AD96," ")</f>
        <v xml:space="preserve"> </v>
      </c>
      <c r="F29" s="46" t="str">
        <f t="shared" ref="F29:L29" si="22">IF($C$7="s",AE96," ")</f>
        <v xml:space="preserve"> </v>
      </c>
      <c r="G29" s="46" t="str">
        <f t="shared" si="22"/>
        <v xml:space="preserve"> </v>
      </c>
      <c r="H29" s="46" t="str">
        <f t="shared" si="22"/>
        <v xml:space="preserve"> </v>
      </c>
      <c r="I29" s="46" t="str">
        <f t="shared" si="22"/>
        <v xml:space="preserve"> </v>
      </c>
      <c r="J29" s="46" t="str">
        <f t="shared" si="22"/>
        <v xml:space="preserve"> </v>
      </c>
      <c r="K29" s="46" t="str">
        <f t="shared" si="22"/>
        <v xml:space="preserve"> </v>
      </c>
      <c r="L29" s="46" t="str">
        <f t="shared" si="22"/>
        <v xml:space="preserve"> </v>
      </c>
      <c r="M29" s="46" t="str">
        <f t="shared" ref="M29:T29" si="23">IF($C$7="s",AL96," ")</f>
        <v xml:space="preserve"> </v>
      </c>
      <c r="N29" s="46" t="str">
        <f t="shared" si="23"/>
        <v xml:space="preserve"> </v>
      </c>
      <c r="O29" s="46" t="str">
        <f t="shared" si="23"/>
        <v xml:space="preserve"> </v>
      </c>
      <c r="P29" s="46" t="str">
        <f t="shared" si="23"/>
        <v xml:space="preserve"> </v>
      </c>
      <c r="Q29" s="46" t="str">
        <f t="shared" si="23"/>
        <v xml:space="preserve"> </v>
      </c>
      <c r="R29" s="46" t="str">
        <f t="shared" si="23"/>
        <v xml:space="preserve"> </v>
      </c>
      <c r="S29" s="46" t="str">
        <f t="shared" si="23"/>
        <v xml:space="preserve"> </v>
      </c>
      <c r="T29" s="46" t="str">
        <f t="shared" si="23"/>
        <v xml:space="preserve"> </v>
      </c>
      <c r="U29" s="46">
        <f t="shared" si="6"/>
        <v>0</v>
      </c>
      <c r="V29" s="50" t="s">
        <v>89</v>
      </c>
      <c r="CC29" s="92"/>
    </row>
    <row r="30" spans="1:81" ht="12" hidden="1">
      <c r="B30" s="42" t="str">
        <f>IF($C$8="s","Paga extra, Sueldo Base"," ")</f>
        <v xml:space="preserve"> </v>
      </c>
      <c r="C30" s="46" t="str">
        <f>IF($C$8="s",AC80," ")</f>
        <v xml:space="preserve"> </v>
      </c>
      <c r="D30" s="46" t="str">
        <f>IF($C$8="s",AC80," ")</f>
        <v xml:space="preserve"> </v>
      </c>
      <c r="E30" s="46" t="str">
        <f>IF($C$8="s",AD80," ")</f>
        <v xml:space="preserve"> </v>
      </c>
      <c r="F30" s="46" t="str">
        <f t="shared" ref="F30:L30" si="24">IF($C$8="s",AE80," ")</f>
        <v xml:space="preserve"> </v>
      </c>
      <c r="G30" s="46" t="str">
        <f t="shared" si="24"/>
        <v xml:space="preserve"> </v>
      </c>
      <c r="H30" s="46" t="str">
        <f t="shared" si="24"/>
        <v xml:space="preserve"> </v>
      </c>
      <c r="I30" s="46" t="str">
        <f t="shared" si="24"/>
        <v xml:space="preserve"> </v>
      </c>
      <c r="J30" s="46" t="str">
        <f t="shared" si="24"/>
        <v xml:space="preserve"> </v>
      </c>
      <c r="K30" s="46" t="str">
        <f t="shared" si="24"/>
        <v xml:space="preserve"> </v>
      </c>
      <c r="L30" s="46" t="str">
        <f t="shared" si="24"/>
        <v xml:space="preserve"> </v>
      </c>
      <c r="M30" s="46" t="str">
        <f t="shared" ref="M30:T30" si="25">IF($C$8="s",AL80," ")</f>
        <v xml:space="preserve"> </v>
      </c>
      <c r="N30" s="46" t="str">
        <f t="shared" si="25"/>
        <v xml:space="preserve"> </v>
      </c>
      <c r="O30" s="46" t="str">
        <f t="shared" si="25"/>
        <v xml:space="preserve"> </v>
      </c>
      <c r="P30" s="46" t="str">
        <f t="shared" si="25"/>
        <v xml:space="preserve"> </v>
      </c>
      <c r="Q30" s="46" t="str">
        <f t="shared" si="25"/>
        <v xml:space="preserve"> </v>
      </c>
      <c r="R30" s="46" t="str">
        <f t="shared" si="25"/>
        <v xml:space="preserve"> </v>
      </c>
      <c r="S30" s="46" t="str">
        <f t="shared" si="25"/>
        <v xml:space="preserve"> </v>
      </c>
      <c r="T30" s="46" t="str">
        <f t="shared" si="25"/>
        <v xml:space="preserve"> </v>
      </c>
      <c r="U30" s="46">
        <f t="shared" si="6"/>
        <v>0</v>
      </c>
      <c r="V30" s="51" t="s">
        <v>94</v>
      </c>
      <c r="CC30" s="92"/>
    </row>
    <row r="31" spans="1:81" ht="12" hidden="1">
      <c r="B31" s="42" t="str">
        <f>IF($C$8="s","Paga extra, Trienios"," ")</f>
        <v xml:space="preserve"> </v>
      </c>
      <c r="C31" s="46" t="str">
        <f>IF($C$8="s",AC82*INT($C$6/3)," ")</f>
        <v xml:space="preserve"> </v>
      </c>
      <c r="D31" s="46" t="str">
        <f>IF($C$8="s",AC82*INT($C$6/3)," ")</f>
        <v xml:space="preserve"> </v>
      </c>
      <c r="E31" s="46" t="str">
        <f>IF($C$8="s",AD82*INT($C$6/3)," ")</f>
        <v xml:space="preserve"> </v>
      </c>
      <c r="F31" s="46" t="str">
        <f t="shared" ref="F31:L31" si="26">IF($C$8="s",AE82*INT($C$6/3)," ")</f>
        <v xml:space="preserve"> </v>
      </c>
      <c r="G31" s="46" t="str">
        <f t="shared" si="26"/>
        <v xml:space="preserve"> </v>
      </c>
      <c r="H31" s="46" t="str">
        <f t="shared" si="26"/>
        <v xml:space="preserve"> </v>
      </c>
      <c r="I31" s="46" t="str">
        <f t="shared" si="26"/>
        <v xml:space="preserve"> </v>
      </c>
      <c r="J31" s="46" t="str">
        <f t="shared" si="26"/>
        <v xml:space="preserve"> </v>
      </c>
      <c r="K31" s="46" t="str">
        <f t="shared" si="26"/>
        <v xml:space="preserve"> </v>
      </c>
      <c r="L31" s="46" t="str">
        <f t="shared" si="26"/>
        <v xml:space="preserve"> </v>
      </c>
      <c r="M31" s="46" t="str">
        <f t="shared" ref="M31:U31" si="27">IF($C$8="s",AL82*INT($C$6/3)," ")</f>
        <v xml:space="preserve"> </v>
      </c>
      <c r="N31" s="46" t="str">
        <f t="shared" si="27"/>
        <v xml:space="preserve"> </v>
      </c>
      <c r="O31" s="46" t="str">
        <f t="shared" si="27"/>
        <v xml:space="preserve"> </v>
      </c>
      <c r="P31" s="46" t="str">
        <f t="shared" si="27"/>
        <v xml:space="preserve"> </v>
      </c>
      <c r="Q31" s="46" t="str">
        <f t="shared" si="27"/>
        <v xml:space="preserve"> </v>
      </c>
      <c r="R31" s="46" t="str">
        <f t="shared" si="27"/>
        <v xml:space="preserve"> </v>
      </c>
      <c r="S31" s="46" t="str">
        <f t="shared" si="27"/>
        <v xml:space="preserve"> </v>
      </c>
      <c r="T31" s="46" t="str">
        <f t="shared" si="27"/>
        <v xml:space="preserve"> </v>
      </c>
      <c r="U31" s="46" t="str">
        <f t="shared" si="27"/>
        <v xml:space="preserve"> </v>
      </c>
      <c r="CC31" s="92"/>
    </row>
    <row r="32" spans="1:81" ht="12" hidden="1">
      <c r="B32" s="42" t="str">
        <f>IF($C$8="s","Paga extra, Complemento Destino"," ")</f>
        <v xml:space="preserve"> </v>
      </c>
      <c r="C32" s="46" t="str">
        <f>IF($C$8="s",AC83," ")</f>
        <v xml:space="preserve"> </v>
      </c>
      <c r="D32" s="46" t="str">
        <f>IF($C$8="s",AC83," ")</f>
        <v xml:space="preserve"> </v>
      </c>
      <c r="E32" s="46" t="str">
        <f>IF($C$8="s",AD83," ")</f>
        <v xml:space="preserve"> </v>
      </c>
      <c r="F32" s="46" t="str">
        <f t="shared" ref="F32:L32" si="28">IF($C$8="s",AE83," ")</f>
        <v xml:space="preserve"> </v>
      </c>
      <c r="G32" s="46" t="str">
        <f t="shared" si="28"/>
        <v xml:space="preserve"> </v>
      </c>
      <c r="H32" s="46" t="str">
        <f t="shared" si="28"/>
        <v xml:space="preserve"> </v>
      </c>
      <c r="I32" s="46" t="str">
        <f t="shared" si="28"/>
        <v xml:space="preserve"> </v>
      </c>
      <c r="J32" s="46" t="str">
        <f t="shared" si="28"/>
        <v xml:space="preserve"> </v>
      </c>
      <c r="K32" s="46" t="str">
        <f t="shared" si="28"/>
        <v xml:space="preserve"> </v>
      </c>
      <c r="L32" s="46" t="str">
        <f t="shared" si="28"/>
        <v xml:space="preserve"> </v>
      </c>
      <c r="M32" s="46" t="str">
        <f t="shared" ref="M32:U32" si="29">IF($C$8="s",AL83," ")</f>
        <v xml:space="preserve"> </v>
      </c>
      <c r="N32" s="46" t="str">
        <f t="shared" si="29"/>
        <v xml:space="preserve"> </v>
      </c>
      <c r="O32" s="46" t="str">
        <f t="shared" si="29"/>
        <v xml:space="preserve"> </v>
      </c>
      <c r="P32" s="46" t="str">
        <f t="shared" si="29"/>
        <v xml:space="preserve"> </v>
      </c>
      <c r="Q32" s="46" t="str">
        <f t="shared" si="29"/>
        <v xml:space="preserve"> </v>
      </c>
      <c r="R32" s="46" t="str">
        <f t="shared" si="29"/>
        <v xml:space="preserve"> </v>
      </c>
      <c r="S32" s="46" t="str">
        <f t="shared" si="29"/>
        <v xml:space="preserve"> </v>
      </c>
      <c r="T32" s="46" t="str">
        <f t="shared" si="29"/>
        <v xml:space="preserve"> </v>
      </c>
      <c r="U32" s="46" t="str">
        <f t="shared" si="29"/>
        <v xml:space="preserve"> </v>
      </c>
      <c r="CC32" s="92"/>
    </row>
    <row r="33" spans="2:81" ht="12" hidden="1">
      <c r="B33" s="42" t="str">
        <f>IF($C$8="s","Paga extra, Complemento Específico"," ")</f>
        <v xml:space="preserve"> </v>
      </c>
      <c r="C33" s="46" t="str">
        <f>IF($C$8="s",AC84*0.78," ")</f>
        <v xml:space="preserve"> </v>
      </c>
      <c r="D33" s="46" t="str">
        <f>IF($C$8="s",AC84*0.78," ")</f>
        <v xml:space="preserve"> </v>
      </c>
      <c r="E33" s="46" t="str">
        <f>IF($C$8="s",AD84*0.78," ")</f>
        <v xml:space="preserve"> </v>
      </c>
      <c r="F33" s="46" t="str">
        <f t="shared" ref="F33:L33" si="30">IF($C$8="s",AE84*0.78," ")</f>
        <v xml:space="preserve"> </v>
      </c>
      <c r="G33" s="46" t="str">
        <f t="shared" si="30"/>
        <v xml:space="preserve"> </v>
      </c>
      <c r="H33" s="46" t="str">
        <f t="shared" si="30"/>
        <v xml:space="preserve"> </v>
      </c>
      <c r="I33" s="46" t="str">
        <f t="shared" si="30"/>
        <v xml:space="preserve"> </v>
      </c>
      <c r="J33" s="46" t="str">
        <f t="shared" si="30"/>
        <v xml:space="preserve"> </v>
      </c>
      <c r="K33" s="46" t="str">
        <f t="shared" si="30"/>
        <v xml:space="preserve"> </v>
      </c>
      <c r="L33" s="46" t="str">
        <f t="shared" si="30"/>
        <v xml:space="preserve"> </v>
      </c>
      <c r="M33" s="46" t="str">
        <f t="shared" ref="M33:U34" si="31">IF($C$8="s",AL84*0.78," ")</f>
        <v xml:space="preserve"> </v>
      </c>
      <c r="N33" s="46" t="str">
        <f t="shared" si="31"/>
        <v xml:space="preserve"> </v>
      </c>
      <c r="O33" s="46" t="str">
        <f t="shared" si="31"/>
        <v xml:space="preserve"> </v>
      </c>
      <c r="P33" s="46" t="str">
        <f t="shared" si="31"/>
        <v xml:space="preserve"> </v>
      </c>
      <c r="Q33" s="46" t="str">
        <f t="shared" si="31"/>
        <v xml:space="preserve"> </v>
      </c>
      <c r="R33" s="46" t="str">
        <f t="shared" si="31"/>
        <v xml:space="preserve"> </v>
      </c>
      <c r="S33" s="46" t="str">
        <f t="shared" si="31"/>
        <v xml:space="preserve"> </v>
      </c>
      <c r="T33" s="46" t="str">
        <f t="shared" si="31"/>
        <v xml:space="preserve"> </v>
      </c>
      <c r="U33" s="46" t="str">
        <f t="shared" si="31"/>
        <v xml:space="preserve"> </v>
      </c>
      <c r="CC33" s="92"/>
    </row>
    <row r="34" spans="2:81" ht="12" hidden="1">
      <c r="B34" s="42" t="str">
        <f>IF($C$8="s","Paga extra, Complemento Específico Autonómico"," ")</f>
        <v xml:space="preserve"> </v>
      </c>
      <c r="C34" s="46"/>
      <c r="D34" s="46"/>
      <c r="E34" s="46"/>
      <c r="F34" s="46"/>
      <c r="G34" s="46" t="str">
        <f t="shared" ref="G34:K34" si="32">IF($C$8="s",AF85*0.78," ")</f>
        <v xml:space="preserve"> </v>
      </c>
      <c r="H34" s="46" t="str">
        <f t="shared" si="32"/>
        <v xml:space="preserve"> </v>
      </c>
      <c r="I34" s="46"/>
      <c r="J34" s="46" t="str">
        <f t="shared" si="32"/>
        <v xml:space="preserve"> </v>
      </c>
      <c r="K34" s="46" t="str">
        <f t="shared" si="32"/>
        <v xml:space="preserve"> </v>
      </c>
      <c r="L34" s="46"/>
      <c r="M34" s="46" t="str">
        <f t="shared" si="31"/>
        <v xml:space="preserve"> </v>
      </c>
      <c r="N34" s="46"/>
      <c r="O34" s="46"/>
      <c r="P34" s="46" t="str">
        <f t="shared" si="31"/>
        <v xml:space="preserve"> </v>
      </c>
      <c r="Q34" s="46" t="str">
        <f t="shared" si="31"/>
        <v xml:space="preserve"> </v>
      </c>
      <c r="R34" s="46"/>
      <c r="S34" s="46" t="str">
        <f t="shared" si="31"/>
        <v xml:space="preserve"> </v>
      </c>
      <c r="T34" s="46"/>
      <c r="U34" s="46" t="str">
        <f t="shared" si="31"/>
        <v xml:space="preserve"> </v>
      </c>
      <c r="CC34" s="92"/>
    </row>
    <row r="35" spans="2:81" ht="12" hidden="1">
      <c r="B35" s="42" t="str">
        <f>IF($C$8="s","Paga extra, Complemento Sexenios"," ")</f>
        <v xml:space="preserve"> </v>
      </c>
      <c r="C35" s="80"/>
      <c r="D35" s="46" t="str">
        <f>IF($C$8="s",(D20+D21+D22+D23+D24)*0.78," ")</f>
        <v xml:space="preserve"> </v>
      </c>
      <c r="E35" s="46" t="str">
        <f>IF($C$8="s",(E20+E21+E22+E23+E24)*0.78," ")</f>
        <v xml:space="preserve"> </v>
      </c>
      <c r="F35" s="46" t="str">
        <f t="shared" ref="F35:L35" si="33">IF($C$8="s",(F20+F21+F22+F23+F24)*0.78," ")</f>
        <v xml:space="preserve"> </v>
      </c>
      <c r="G35" s="46" t="str">
        <f t="shared" si="33"/>
        <v xml:space="preserve"> </v>
      </c>
      <c r="H35" s="46" t="str">
        <f t="shared" si="33"/>
        <v xml:space="preserve"> </v>
      </c>
      <c r="I35" s="46" t="str">
        <f t="shared" si="33"/>
        <v xml:space="preserve"> </v>
      </c>
      <c r="J35" s="46" t="str">
        <f t="shared" si="33"/>
        <v xml:space="preserve"> </v>
      </c>
      <c r="K35" s="46" t="str">
        <f t="shared" si="33"/>
        <v xml:space="preserve"> </v>
      </c>
      <c r="L35" s="46" t="str">
        <f t="shared" si="33"/>
        <v xml:space="preserve"> </v>
      </c>
      <c r="M35" s="46" t="str">
        <f t="shared" ref="M35:U35" si="34">IF($C$8="s",(M20+M21+M22+M23+M24)*0.78," ")</f>
        <v xml:space="preserve"> </v>
      </c>
      <c r="N35" s="46" t="str">
        <f t="shared" si="34"/>
        <v xml:space="preserve"> </v>
      </c>
      <c r="O35" s="46" t="str">
        <f t="shared" si="34"/>
        <v xml:space="preserve"> </v>
      </c>
      <c r="P35" s="46" t="str">
        <f t="shared" si="34"/>
        <v xml:space="preserve"> </v>
      </c>
      <c r="Q35" s="46" t="str">
        <f t="shared" si="34"/>
        <v xml:space="preserve"> </v>
      </c>
      <c r="R35" s="46" t="str">
        <f t="shared" si="34"/>
        <v xml:space="preserve"> </v>
      </c>
      <c r="S35" s="46" t="str">
        <f t="shared" si="34"/>
        <v xml:space="preserve"> </v>
      </c>
      <c r="T35" s="46" t="str">
        <f t="shared" si="34"/>
        <v xml:space="preserve"> </v>
      </c>
      <c r="U35" s="46" t="str">
        <f t="shared" si="34"/>
        <v xml:space="preserve"> </v>
      </c>
      <c r="CC35" s="92"/>
    </row>
    <row r="36" spans="2:81" ht="12" hidden="1">
      <c r="B36" s="42" t="str">
        <f>IF($C$8="s","Productividad semestral"," ")</f>
        <v xml:space="preserve"> 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 t="str">
        <f t="shared" ref="Q36:U36" si="35">IF($C$8="s",AP98," ")</f>
        <v xml:space="preserve"> </v>
      </c>
      <c r="R36" s="46"/>
      <c r="S36" s="46"/>
      <c r="T36" s="46"/>
      <c r="U36" s="46" t="str">
        <f t="shared" si="35"/>
        <v xml:space="preserve"> </v>
      </c>
      <c r="CC36" s="92"/>
    </row>
    <row r="37" spans="2:81" ht="15" customHeight="1">
      <c r="B37" s="52" t="s">
        <v>101</v>
      </c>
      <c r="C37" s="53">
        <f>SUM(C14:C35)</f>
        <v>2419.0100000000002</v>
      </c>
      <c r="D37" s="53">
        <f>SUM(D14:D35)</f>
        <v>2724.01</v>
      </c>
      <c r="E37" s="53">
        <f>SUM(E14:E35)</f>
        <v>2451.8399999999997</v>
      </c>
      <c r="F37" s="53">
        <f t="shared" ref="F37:L37" si="36">SUM(F14:F35)</f>
        <v>2473.94</v>
      </c>
      <c r="G37" s="53">
        <f t="shared" si="36"/>
        <v>2530.2299999999996</v>
      </c>
      <c r="H37" s="53">
        <f t="shared" si="36"/>
        <v>2717.5099999999998</v>
      </c>
      <c r="I37" s="53">
        <f t="shared" si="36"/>
        <v>2586.2499999999991</v>
      </c>
      <c r="J37" s="53">
        <f t="shared" si="36"/>
        <v>2593.44</v>
      </c>
      <c r="K37" s="53">
        <f t="shared" si="36"/>
        <v>2443.9</v>
      </c>
      <c r="L37" s="53">
        <f t="shared" si="36"/>
        <v>2533.6499999999996</v>
      </c>
      <c r="M37" s="53">
        <f t="shared" ref="M37:U37" si="37">SUM(M14:M35)</f>
        <v>2489.2099999999996</v>
      </c>
      <c r="N37" s="53">
        <f t="shared" si="37"/>
        <v>2417.11</v>
      </c>
      <c r="O37" s="53">
        <f t="shared" si="37"/>
        <v>2527.02</v>
      </c>
      <c r="P37" s="53">
        <f t="shared" si="37"/>
        <v>2413.6999999999994</v>
      </c>
      <c r="Q37" s="53">
        <f t="shared" si="37"/>
        <v>2508.15</v>
      </c>
      <c r="R37" s="53">
        <f t="shared" si="37"/>
        <v>2481.6499999999992</v>
      </c>
      <c r="S37" s="53">
        <f t="shared" si="37"/>
        <v>3133.2499999999995</v>
      </c>
      <c r="T37" s="53">
        <f t="shared" si="37"/>
        <v>2621.81</v>
      </c>
      <c r="U37" s="53">
        <f t="shared" si="37"/>
        <v>2424.12</v>
      </c>
      <c r="CC37" s="93">
        <f>+C37-D37</f>
        <v>-305</v>
      </c>
    </row>
    <row r="38" spans="2:81" ht="12.95" customHeight="1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Y38" s="61"/>
      <c r="CC38" s="94"/>
    </row>
    <row r="39" spans="2:81" ht="12">
      <c r="B39" s="107" t="s">
        <v>15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CC39" s="117" t="s">
        <v>117</v>
      </c>
    </row>
    <row r="40" spans="2:81" ht="12">
      <c r="B40" s="55" t="str">
        <f>IF(C5=AA71,"MUFACE","Contingencias Comunes")</f>
        <v>Contingencias Comunes</v>
      </c>
      <c r="C40" s="46">
        <f>IF($C$5="interino",-C55*4.7%,AC101)</f>
        <v>-128.1201074666667</v>
      </c>
      <c r="D40" s="46">
        <f>IF($C$5="interino",-D55*4.7%,AC101)</f>
        <v>-144.31865746666671</v>
      </c>
      <c r="E40" s="46">
        <f>IF($C$5="interino",-E55*4.7%,AD101)</f>
        <v>-130.5688529</v>
      </c>
      <c r="F40" s="46">
        <f t="shared" ref="F40:I40" si="38">IF($C$5="interino",-F55*4.7%,AE101)</f>
        <v>-131.7425839</v>
      </c>
      <c r="G40" s="46">
        <f t="shared" si="38"/>
        <v>-134.74372660000003</v>
      </c>
      <c r="H40" s="46">
        <f t="shared" si="38"/>
        <v>-143.59613900000002</v>
      </c>
      <c r="I40" s="46">
        <f t="shared" si="38"/>
        <v>-137.70736799999997</v>
      </c>
      <c r="J40" s="46">
        <f t="shared" ref="J40" si="39">IF($C$5="interino",-J55*4.7%,AI101)</f>
        <v>-133.94655203299999</v>
      </c>
      <c r="K40" s="46">
        <f t="shared" ref="K40" si="40">IF($C$5="interino",-K55*4.7%,AJ101)</f>
        <v>-130.02385970000003</v>
      </c>
      <c r="L40" s="46">
        <f t="shared" ref="L40:M40" si="41">IF($C$5="interino",-L55*4.7%,AK101)</f>
        <v>-134.913782</v>
      </c>
      <c r="M40" s="46">
        <f t="shared" si="41"/>
        <v>-132.36813509999999</v>
      </c>
      <c r="N40" s="46">
        <f t="shared" ref="N40" si="42">IF($C$5="interino",-N55*4.7%,AM101)</f>
        <v>-128.7243426</v>
      </c>
      <c r="O40" s="46">
        <f t="shared" ref="O40" si="43">IF($C$5="interino",-O55*4.7%,AN101)</f>
        <v>-134.56166270000003</v>
      </c>
      <c r="P40" s="46">
        <f t="shared" ref="P40:Q40" si="44">IF($C$5="interino",-P55*4.7%,AO101)</f>
        <v>-128.5432375</v>
      </c>
      <c r="Q40" s="46">
        <f t="shared" si="44"/>
        <v>-136.84133033333333</v>
      </c>
      <c r="R40" s="46">
        <f t="shared" ref="R40" si="45">IF($C$5="interino",-R55*4.7%,AQ101)</f>
        <v>-132.15206199999997</v>
      </c>
      <c r="S40" s="46">
        <f t="shared" ref="S40" si="46">IF($C$5="interino",-S55*4.7%,AR101)</f>
        <v>-153.79226259999996</v>
      </c>
      <c r="T40" s="46">
        <f t="shared" ref="T40:U40" si="47">IF($C$5="interino",-T55*4.7%,AS101)</f>
        <v>-140.08139596666669</v>
      </c>
      <c r="U40" s="46">
        <f t="shared" si="47"/>
        <v>-132.92257999999998</v>
      </c>
      <c r="CC40" s="117"/>
    </row>
    <row r="41" spans="2:81" ht="12">
      <c r="B41" s="56" t="str">
        <f>IF(C5=AA71,"Derechos Pasivos","Cuota Desempleo")</f>
        <v>Cuota Desempleo</v>
      </c>
      <c r="C41" s="46">
        <f>IF($C$5="interino",-C55*1.1%,AC102)</f>
        <v>-29.985557066666676</v>
      </c>
      <c r="D41" s="46">
        <f>IF($C$5="interino",-D55*1.1%,AC102)</f>
        <v>-33.776707066666681</v>
      </c>
      <c r="E41" s="46">
        <f>IF($C$5="interino",-E55*1.1%,AD102)</f>
        <v>-30.558667700000004</v>
      </c>
      <c r="F41" s="46">
        <f t="shared" ref="F41:U41" si="48">IF($C$5="interino",-F55*1.1%,AE102)</f>
        <v>-30.833370700000003</v>
      </c>
      <c r="G41" s="46">
        <f t="shared" si="48"/>
        <v>-31.535765800000007</v>
      </c>
      <c r="H41" s="46">
        <f t="shared" si="48"/>
        <v>-33.607607000000009</v>
      </c>
      <c r="I41" s="46">
        <f t="shared" si="48"/>
        <v>-32.229383999999996</v>
      </c>
      <c r="J41" s="46">
        <f t="shared" si="48"/>
        <v>-31.349193029000002</v>
      </c>
      <c r="K41" s="46">
        <f t="shared" si="48"/>
        <v>-30.431116100000011</v>
      </c>
      <c r="L41" s="46">
        <f t="shared" si="48"/>
        <v>-31.575566000000002</v>
      </c>
      <c r="M41" s="46">
        <f t="shared" si="48"/>
        <v>-30.979776300000005</v>
      </c>
      <c r="N41" s="46">
        <f t="shared" si="48"/>
        <v>-30.126973800000002</v>
      </c>
      <c r="O41" s="46">
        <f t="shared" si="48"/>
        <v>-31.493155100000006</v>
      </c>
      <c r="P41" s="46">
        <f t="shared" si="48"/>
        <v>-30.084587500000005</v>
      </c>
      <c r="Q41" s="46">
        <f t="shared" si="48"/>
        <v>-32.026694333333339</v>
      </c>
      <c r="R41" s="46">
        <f t="shared" si="48"/>
        <v>-30.929206000000001</v>
      </c>
      <c r="S41" s="46">
        <f t="shared" si="48"/>
        <v>-35.993933799999994</v>
      </c>
      <c r="T41" s="46">
        <f t="shared" si="48"/>
        <v>-32.785007566666671</v>
      </c>
      <c r="U41" s="46">
        <f t="shared" si="48"/>
        <v>-31.109540000000003</v>
      </c>
      <c r="CC41" s="117"/>
    </row>
    <row r="42" spans="2:81" ht="12">
      <c r="B42" s="55" t="str">
        <f>IF(C5=AA71," ","Cuota Formación Profesional")</f>
        <v>Cuota Formación Profesional</v>
      </c>
      <c r="C42" s="46">
        <f>IF($C$5="interino",-C55*0.1%," ")</f>
        <v>-2.7259597333333341</v>
      </c>
      <c r="D42" s="46">
        <f>IF($C$5="interino",-D55*0.1%," ")</f>
        <v>-3.0706097333333342</v>
      </c>
      <c r="E42" s="46">
        <f>IF($C$5="interino",-E55*0.1%," ")</f>
        <v>-2.7780607000000002</v>
      </c>
      <c r="F42" s="46">
        <f t="shared" ref="F42:L42" si="49">IF($C$5="interino",-F55*0.1%," ")</f>
        <v>-2.8030336999999999</v>
      </c>
      <c r="G42" s="46">
        <f t="shared" si="49"/>
        <v>-2.8668878000000007</v>
      </c>
      <c r="H42" s="46">
        <f t="shared" si="49"/>
        <v>-3.0552370000000004</v>
      </c>
      <c r="I42" s="46">
        <f t="shared" si="49"/>
        <v>-2.9299439999999994</v>
      </c>
      <c r="J42" s="46">
        <f t="shared" si="49"/>
        <v>-2.849926639</v>
      </c>
      <c r="K42" s="46">
        <f t="shared" si="49"/>
        <v>-2.7664651000000009</v>
      </c>
      <c r="L42" s="46">
        <f t="shared" si="49"/>
        <v>-2.8705059999999998</v>
      </c>
      <c r="M42" s="46">
        <f t="shared" ref="M42:U42" si="50">IF($C$5="interino",-M55*0.1%," ")</f>
        <v>-2.8163433000000002</v>
      </c>
      <c r="N42" s="46">
        <f t="shared" si="50"/>
        <v>-2.7388157999999998</v>
      </c>
      <c r="O42" s="46">
        <f t="shared" si="50"/>
        <v>-2.8630141000000005</v>
      </c>
      <c r="P42" s="46">
        <f t="shared" si="50"/>
        <v>-2.7349625</v>
      </c>
      <c r="Q42" s="46">
        <f t="shared" si="50"/>
        <v>-2.9115176666666667</v>
      </c>
      <c r="R42" s="46">
        <f t="shared" si="50"/>
        <v>-2.8117459999999999</v>
      </c>
      <c r="S42" s="46">
        <f t="shared" si="50"/>
        <v>-3.272175799999999</v>
      </c>
      <c r="T42" s="46">
        <f t="shared" si="50"/>
        <v>-2.9804552333333336</v>
      </c>
      <c r="U42" s="46">
        <f t="shared" si="50"/>
        <v>-2.8281399999999999</v>
      </c>
      <c r="CC42" s="117"/>
    </row>
    <row r="43" spans="2:81" ht="12.75" customHeight="1">
      <c r="B43" s="55" t="s">
        <v>104</v>
      </c>
      <c r="C43" s="46">
        <v>-6</v>
      </c>
      <c r="D43" s="46">
        <v>-6</v>
      </c>
      <c r="E43" s="46">
        <v>-6</v>
      </c>
      <c r="F43" s="46">
        <v>-6</v>
      </c>
      <c r="G43" s="46">
        <v>-6</v>
      </c>
      <c r="H43" s="46">
        <v>-6</v>
      </c>
      <c r="I43" s="46">
        <v>-6</v>
      </c>
      <c r="J43" s="46">
        <v>-6</v>
      </c>
      <c r="K43" s="46">
        <v>-6</v>
      </c>
      <c r="L43" s="46">
        <v>-6</v>
      </c>
      <c r="M43" s="46">
        <v>-6</v>
      </c>
      <c r="N43" s="46">
        <v>-6</v>
      </c>
      <c r="O43" s="46">
        <v>-6</v>
      </c>
      <c r="P43" s="46">
        <v>-6</v>
      </c>
      <c r="Q43" s="46">
        <v>-6</v>
      </c>
      <c r="R43" s="46">
        <v>-6</v>
      </c>
      <c r="S43" s="46">
        <v>-6</v>
      </c>
      <c r="T43" s="46">
        <v>-6</v>
      </c>
      <c r="U43" s="46">
        <v>-6</v>
      </c>
      <c r="CC43" s="117"/>
    </row>
    <row r="44" spans="2:81" ht="12">
      <c r="B44" s="57" t="s">
        <v>14</v>
      </c>
      <c r="C44" s="46">
        <f>-C37*$C$11</f>
        <v>-459.61190000000005</v>
      </c>
      <c r="D44" s="46">
        <f>-D37*$C$11</f>
        <v>-517.56190000000004</v>
      </c>
      <c r="E44" s="46">
        <f>-E37*$C$11</f>
        <v>-465.84959999999995</v>
      </c>
      <c r="F44" s="46">
        <f t="shared" ref="F44:L44" si="51">-F37*$C$11</f>
        <v>-470.04860000000002</v>
      </c>
      <c r="G44" s="46">
        <f t="shared" si="51"/>
        <v>-480.74369999999993</v>
      </c>
      <c r="H44" s="46">
        <f t="shared" si="51"/>
        <v>-516.32689999999991</v>
      </c>
      <c r="I44" s="46">
        <f t="shared" si="51"/>
        <v>-491.38749999999982</v>
      </c>
      <c r="J44" s="46">
        <f t="shared" si="51"/>
        <v>-492.75360000000001</v>
      </c>
      <c r="K44" s="46">
        <f t="shared" si="51"/>
        <v>-464.34100000000001</v>
      </c>
      <c r="L44" s="46">
        <f t="shared" si="51"/>
        <v>-481.39349999999996</v>
      </c>
      <c r="M44" s="46">
        <f t="shared" ref="M44:U44" si="52">-M37*$C$11</f>
        <v>-472.9498999999999</v>
      </c>
      <c r="N44" s="46">
        <f t="shared" si="52"/>
        <v>-459.2509</v>
      </c>
      <c r="O44" s="46">
        <f t="shared" si="52"/>
        <v>-480.13380000000001</v>
      </c>
      <c r="P44" s="46">
        <f t="shared" si="52"/>
        <v>-458.60299999999989</v>
      </c>
      <c r="Q44" s="46">
        <f t="shared" si="52"/>
        <v>-476.54850000000005</v>
      </c>
      <c r="R44" s="46">
        <f t="shared" si="52"/>
        <v>-471.51349999999985</v>
      </c>
      <c r="S44" s="46">
        <f t="shared" si="52"/>
        <v>-595.31749999999988</v>
      </c>
      <c r="T44" s="46">
        <f t="shared" si="52"/>
        <v>-498.14389999999997</v>
      </c>
      <c r="U44" s="46">
        <f t="shared" si="52"/>
        <v>-460.58279999999996</v>
      </c>
      <c r="CC44" s="117"/>
    </row>
    <row r="45" spans="2:81" ht="12">
      <c r="B45" s="52" t="s">
        <v>12</v>
      </c>
      <c r="C45" s="46">
        <f>SUM(C40:C44)</f>
        <v>-626.44352426666671</v>
      </c>
      <c r="D45" s="46">
        <f>SUM(D40:D44)</f>
        <v>-704.72787426666673</v>
      </c>
      <c r="E45" s="46">
        <f>SUM(E40:E44)</f>
        <v>-635.7551813</v>
      </c>
      <c r="F45" s="46">
        <f t="shared" ref="F45:L45" si="53">SUM(F40:F44)</f>
        <v>-641.42758830000002</v>
      </c>
      <c r="G45" s="46">
        <f t="shared" si="53"/>
        <v>-655.89008019999994</v>
      </c>
      <c r="H45" s="46">
        <f t="shared" si="53"/>
        <v>-702.58588299999997</v>
      </c>
      <c r="I45" s="46">
        <f t="shared" si="53"/>
        <v>-670.25419599999975</v>
      </c>
      <c r="J45" s="46">
        <f t="shared" si="53"/>
        <v>-666.89927170099998</v>
      </c>
      <c r="K45" s="46">
        <f t="shared" si="53"/>
        <v>-633.56244090000007</v>
      </c>
      <c r="L45" s="46">
        <f t="shared" si="53"/>
        <v>-656.75335399999994</v>
      </c>
      <c r="M45" s="46">
        <f t="shared" ref="M45:U45" si="54">SUM(M40:M44)</f>
        <v>-645.11415469999986</v>
      </c>
      <c r="N45" s="46">
        <f t="shared" si="54"/>
        <v>-626.84103219999997</v>
      </c>
      <c r="O45" s="46">
        <f t="shared" si="54"/>
        <v>-655.05163190000007</v>
      </c>
      <c r="P45" s="46">
        <f t="shared" si="54"/>
        <v>-625.96578749999992</v>
      </c>
      <c r="Q45" s="46">
        <f t="shared" si="54"/>
        <v>-654.32804233333331</v>
      </c>
      <c r="R45" s="46">
        <f t="shared" si="54"/>
        <v>-643.40651399999979</v>
      </c>
      <c r="S45" s="46">
        <f t="shared" si="54"/>
        <v>-794.37587219999978</v>
      </c>
      <c r="T45" s="46">
        <f t="shared" si="54"/>
        <v>-679.99075876666666</v>
      </c>
      <c r="U45" s="46">
        <f t="shared" si="54"/>
        <v>-633.44305999999995</v>
      </c>
      <c r="CC45" s="117"/>
    </row>
    <row r="46" spans="2:81" ht="12.95" customHeight="1">
      <c r="L46" s="34"/>
      <c r="M46" s="34"/>
      <c r="N46" s="34"/>
      <c r="O46" s="34"/>
      <c r="P46" s="34"/>
      <c r="Q46" s="34"/>
      <c r="R46" s="34"/>
      <c r="S46" s="34"/>
      <c r="T46" s="34"/>
      <c r="U46" s="34"/>
      <c r="CC46" s="117"/>
    </row>
    <row r="47" spans="2:81" ht="14.25">
      <c r="B47" s="58" t="s">
        <v>19</v>
      </c>
      <c r="C47" s="46">
        <f>+C37+C45</f>
        <v>1792.5664757333334</v>
      </c>
      <c r="D47" s="46">
        <f>+D37+D45</f>
        <v>2019.2821257333335</v>
      </c>
      <c r="E47" s="46">
        <f t="shared" ref="E47:K47" si="55">+E37+E45</f>
        <v>1816.0848186999997</v>
      </c>
      <c r="F47" s="46">
        <f t="shared" si="55"/>
        <v>1832.5124117</v>
      </c>
      <c r="G47" s="46">
        <f t="shared" si="55"/>
        <v>1874.3399197999997</v>
      </c>
      <c r="H47" s="46">
        <f t="shared" si="55"/>
        <v>2014.9241169999998</v>
      </c>
      <c r="I47" s="46">
        <f t="shared" si="55"/>
        <v>1915.9958039999992</v>
      </c>
      <c r="J47" s="46">
        <f t="shared" si="55"/>
        <v>1926.540728299</v>
      </c>
      <c r="K47" s="46">
        <f t="shared" si="55"/>
        <v>1810.3375590999999</v>
      </c>
      <c r="L47" s="46">
        <f t="shared" ref="L47:U47" si="56">+L37+L45</f>
        <v>1876.8966459999997</v>
      </c>
      <c r="M47" s="46">
        <f t="shared" si="56"/>
        <v>1844.0958452999998</v>
      </c>
      <c r="N47" s="46">
        <f t="shared" si="56"/>
        <v>1790.2689678000002</v>
      </c>
      <c r="O47" s="46">
        <f t="shared" si="56"/>
        <v>1871.9683680999999</v>
      </c>
      <c r="P47" s="46">
        <f t="shared" si="56"/>
        <v>1787.7342124999996</v>
      </c>
      <c r="Q47" s="46">
        <f t="shared" si="56"/>
        <v>1853.8219576666668</v>
      </c>
      <c r="R47" s="46">
        <f t="shared" si="56"/>
        <v>1838.2434859999994</v>
      </c>
      <c r="S47" s="46">
        <f t="shared" si="56"/>
        <v>2338.8741277999998</v>
      </c>
      <c r="T47" s="46">
        <f t="shared" si="56"/>
        <v>1941.8192412333333</v>
      </c>
      <c r="U47" s="46">
        <f t="shared" si="56"/>
        <v>1790.6769399999998</v>
      </c>
      <c r="CC47" s="93">
        <f>+C47-D47</f>
        <v>-226.7156500000001</v>
      </c>
    </row>
    <row r="48" spans="2:81" ht="5.25" customHeight="1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CC48" s="94"/>
    </row>
    <row r="49" spans="2:81" ht="15" customHeight="1">
      <c r="B49" s="89" t="s">
        <v>18</v>
      </c>
      <c r="C49" s="90">
        <f>AC104</f>
        <v>32711.516800000009</v>
      </c>
      <c r="D49" s="90">
        <f>+AC103</f>
        <v>36847.316800000008</v>
      </c>
      <c r="E49" s="46">
        <f>+AD103</f>
        <v>33336.7284</v>
      </c>
      <c r="F49" s="46">
        <f t="shared" ref="F49:L49" si="57">+AE103</f>
        <v>33636.404399999999</v>
      </c>
      <c r="G49" s="46">
        <f t="shared" si="57"/>
        <v>34402.653600000005</v>
      </c>
      <c r="H49" s="46">
        <f t="shared" si="57"/>
        <v>36662.844000000005</v>
      </c>
      <c r="I49" s="46">
        <f t="shared" si="57"/>
        <v>35159.327999999994</v>
      </c>
      <c r="J49" s="46">
        <f t="shared" si="57"/>
        <v>34199.119667999999</v>
      </c>
      <c r="K49" s="46">
        <f t="shared" si="57"/>
        <v>33197.581200000008</v>
      </c>
      <c r="L49" s="46">
        <f t="shared" si="57"/>
        <v>34446.072</v>
      </c>
      <c r="M49" s="46">
        <f t="shared" ref="M49:U49" si="58">+AL103</f>
        <v>33796.119599999998</v>
      </c>
      <c r="N49" s="46">
        <f t="shared" si="58"/>
        <v>32865.789599999996</v>
      </c>
      <c r="O49" s="46">
        <f t="shared" si="58"/>
        <v>34356.169200000004</v>
      </c>
      <c r="P49" s="46">
        <f t="shared" si="58"/>
        <v>32819.550000000003</v>
      </c>
      <c r="Q49" s="46">
        <f t="shared" si="58"/>
        <v>34938.212</v>
      </c>
      <c r="R49" s="46">
        <f t="shared" si="58"/>
        <v>33740.951999999997</v>
      </c>
      <c r="S49" s="46">
        <f t="shared" si="58"/>
        <v>39266.109599999989</v>
      </c>
      <c r="T49" s="46">
        <f t="shared" si="58"/>
        <v>35765.462800000001</v>
      </c>
      <c r="U49" s="46">
        <f t="shared" si="58"/>
        <v>33937.68</v>
      </c>
      <c r="CC49" s="93">
        <f>+C49-D49</f>
        <v>-4135.7999999999993</v>
      </c>
    </row>
    <row r="50" spans="2:81" ht="12">
      <c r="B50" s="52" t="str">
        <f>IF(C5="carrera","Derechos Pasivos, MUFACE y cuota sindical","Seguridad Social y cuota sindical")</f>
        <v>Seguridad Social y cuota sindical</v>
      </c>
      <c r="C50" s="46">
        <f>IF($C5="carrera",(+(AC101+AC102)*14)+(C43*12),-(C49*6.35%)-(C43*12))</f>
        <v>-2005.1813168000008</v>
      </c>
      <c r="D50" s="46">
        <f>IF($C5="carrera",(+(AC101+AC102)*14)+(D43*12),-(D49*6.35%)-(D43*12))</f>
        <v>-2267.8046168000005</v>
      </c>
      <c r="E50" s="46">
        <f>IF($C5="carrera",(+(AD101+AD102)*14)+(E43*12),-(E49*6.35%)-(E43*12))</f>
        <v>-2044.8822534000001</v>
      </c>
      <c r="F50" s="46">
        <f>IF($C5="carrera",(+(AE101+AE102)*14)+(F43*12),-(F49*6.35%)-(F43*12))</f>
        <v>-2063.9116794000001</v>
      </c>
      <c r="G50" s="46">
        <f t="shared" ref="G50:N50" si="59">IF($C5="carrera",(+(AF101+AF102)*14)+(G43*12),-(G49*6.35%)-(G43*12))</f>
        <v>-2112.5685036000004</v>
      </c>
      <c r="H50" s="46">
        <f t="shared" si="59"/>
        <v>-2256.0905940000002</v>
      </c>
      <c r="I50" s="46">
        <f t="shared" si="59"/>
        <v>-2160.6173279999998</v>
      </c>
      <c r="J50" s="46">
        <f t="shared" si="59"/>
        <v>-2099.6440989180001</v>
      </c>
      <c r="K50" s="46">
        <f t="shared" si="59"/>
        <v>-2036.0464062000005</v>
      </c>
      <c r="L50" s="46">
        <f t="shared" si="59"/>
        <v>-2115.3255720000002</v>
      </c>
      <c r="M50" s="46">
        <f t="shared" si="59"/>
        <v>-2074.0535946</v>
      </c>
      <c r="N50" s="46">
        <f t="shared" si="59"/>
        <v>-2014.9776395999997</v>
      </c>
      <c r="O50" s="46">
        <f t="shared" ref="O50" si="60">IF($C5="carrera",(+(AN101+AN102)*14)+(O43*12),-(O49*6.35%)-(O43*12))</f>
        <v>-2109.6167442000001</v>
      </c>
      <c r="P50" s="46">
        <f t="shared" ref="P50" si="61">IF($C5="carrera",(+(AO101+AO102)*14)+(P43*12),-(P49*6.35%)-(P43*12))</f>
        <v>-2012.0414250000003</v>
      </c>
      <c r="Q50" s="46">
        <f t="shared" ref="Q50" si="62">IF($C5="carrera",(+(AP101+AP102)*14)+(Q43*12),-(Q49*6.35%)-(Q43*12))</f>
        <v>-2146.576462</v>
      </c>
      <c r="R50" s="46">
        <f t="shared" ref="R50" si="63">IF($C5="carrera",(+(AQ101+AQ102)*14)+(R43*12),-(R49*6.35%)-(R43*12))</f>
        <v>-2070.550452</v>
      </c>
      <c r="S50" s="46">
        <f t="shared" ref="S50" si="64">IF($C5="carrera",(+(AR101+AR102)*14)+(S43*12),-(S49*6.35%)-(S43*12))</f>
        <v>-2421.3979595999995</v>
      </c>
      <c r="T50" s="46">
        <f t="shared" ref="T50" si="65">IF($C5="carrera",(+(AS101+AS102)*14)+(T43*12),-(T49*6.35%)-(T43*12))</f>
        <v>-2199.1068878000001</v>
      </c>
      <c r="U50" s="46">
        <f t="shared" ref="U50" si="66">IF($C5="carrera",(+(AT101+AT102)*14)+(U43*12),-(U49*6.35%)-(U43*12))</f>
        <v>-2083.04268</v>
      </c>
      <c r="CC50" s="94"/>
    </row>
    <row r="51" spans="2:81" ht="11.25">
      <c r="B51" s="60" t="s">
        <v>109</v>
      </c>
      <c r="C51" s="46">
        <f>-C49*C11</f>
        <v>-6215.1881920000014</v>
      </c>
      <c r="D51" s="46">
        <f>-D49*C11</f>
        <v>-7000.9901920000011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CC51" s="94"/>
    </row>
    <row r="52" spans="2:81" ht="15" thickBot="1">
      <c r="B52" s="89" t="s">
        <v>18</v>
      </c>
      <c r="C52" s="90">
        <f>+C49+C50+C51</f>
        <v>24491.147291200006</v>
      </c>
      <c r="D52" s="90">
        <f>+D49+D50+D51</f>
        <v>27578.521991200007</v>
      </c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CC52" s="95">
        <f>+C52-D52</f>
        <v>-3087.3747000000003</v>
      </c>
    </row>
    <row r="53" spans="2:81" ht="11.25"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2:81" ht="12.95" hidden="1" customHeight="1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</row>
    <row r="55" spans="2:81" ht="12" hidden="1">
      <c r="B55" s="52" t="str">
        <f>IF(C5="interino","Base cotización Seguridad Social"," ")</f>
        <v>Base cotización Seguridad Social</v>
      </c>
      <c r="C55" s="46">
        <f>IF($C$5="interino",+C49/12," ")</f>
        <v>2725.959733333334</v>
      </c>
      <c r="D55" s="46">
        <f t="shared" ref="D55:U55" si="67">IF($C$5="interino",+D49/12," ")</f>
        <v>3070.6097333333341</v>
      </c>
      <c r="E55" s="46">
        <f t="shared" si="67"/>
        <v>2778.0607</v>
      </c>
      <c r="F55" s="46">
        <f t="shared" si="67"/>
        <v>2803.0337</v>
      </c>
      <c r="G55" s="46">
        <f t="shared" si="67"/>
        <v>2866.8878000000004</v>
      </c>
      <c r="H55" s="46">
        <f t="shared" si="67"/>
        <v>3055.2370000000005</v>
      </c>
      <c r="I55" s="46">
        <f t="shared" si="67"/>
        <v>2929.9439999999995</v>
      </c>
      <c r="J55" s="46">
        <f t="shared" si="67"/>
        <v>2849.9266389999998</v>
      </c>
      <c r="K55" s="46">
        <f t="shared" si="67"/>
        <v>2766.4651000000008</v>
      </c>
      <c r="L55" s="46">
        <f t="shared" si="67"/>
        <v>2870.5059999999999</v>
      </c>
      <c r="M55" s="46">
        <f t="shared" si="67"/>
        <v>2816.3433</v>
      </c>
      <c r="N55" s="46">
        <f t="shared" si="67"/>
        <v>2738.8157999999999</v>
      </c>
      <c r="O55" s="46">
        <f t="shared" si="67"/>
        <v>2863.0141000000003</v>
      </c>
      <c r="P55" s="46">
        <f t="shared" si="67"/>
        <v>2734.9625000000001</v>
      </c>
      <c r="Q55" s="46">
        <f t="shared" si="67"/>
        <v>2911.5176666666666</v>
      </c>
      <c r="R55" s="46">
        <f t="shared" si="67"/>
        <v>2811.7459999999996</v>
      </c>
      <c r="S55" s="46">
        <f t="shared" si="67"/>
        <v>3272.1757999999991</v>
      </c>
      <c r="T55" s="46">
        <f t="shared" si="67"/>
        <v>2980.4552333333336</v>
      </c>
      <c r="U55" s="46">
        <f t="shared" si="67"/>
        <v>2828.14</v>
      </c>
    </row>
    <row r="56" spans="2:81" ht="12" hidden="1"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Y56" s="61"/>
    </row>
    <row r="57" spans="2:81" ht="12">
      <c r="B57" s="124" t="s">
        <v>97</v>
      </c>
      <c r="C57" s="125"/>
      <c r="D57" s="126"/>
      <c r="E57" s="54"/>
    </row>
    <row r="58" spans="2:81" ht="12">
      <c r="B58" s="59"/>
      <c r="C58" s="59"/>
      <c r="D58" s="59"/>
      <c r="E58" s="59"/>
    </row>
    <row r="59" spans="2:81" ht="22.5" hidden="1">
      <c r="B59" s="121" t="s">
        <v>100</v>
      </c>
      <c r="C59" s="121"/>
      <c r="D59" s="81" t="s">
        <v>99</v>
      </c>
      <c r="E59" s="41" t="s">
        <v>35</v>
      </c>
      <c r="F59" s="41" t="s">
        <v>36</v>
      </c>
      <c r="G59" s="41" t="s">
        <v>37</v>
      </c>
      <c r="H59" s="41" t="s">
        <v>38</v>
      </c>
      <c r="I59" s="41" t="s">
        <v>40</v>
      </c>
      <c r="J59" s="41" t="s">
        <v>63</v>
      </c>
      <c r="K59" s="41" t="s">
        <v>41</v>
      </c>
      <c r="L59" s="41" t="s">
        <v>43</v>
      </c>
      <c r="M59" s="41" t="s">
        <v>45</v>
      </c>
      <c r="N59" s="41" t="s">
        <v>46</v>
      </c>
      <c r="O59" s="41" t="s">
        <v>69</v>
      </c>
      <c r="P59" s="41" t="s">
        <v>70</v>
      </c>
      <c r="Q59" s="41" t="s">
        <v>71</v>
      </c>
      <c r="R59" s="41" t="s">
        <v>72</v>
      </c>
      <c r="S59" s="41" t="s">
        <v>73</v>
      </c>
      <c r="T59" s="41" t="s">
        <v>50</v>
      </c>
      <c r="U59" s="41" t="s">
        <v>74</v>
      </c>
      <c r="Y59" s="61"/>
    </row>
    <row r="60" spans="2:81" ht="12" hidden="1">
      <c r="B60" s="121"/>
      <c r="C60" s="121"/>
      <c r="D60" s="78">
        <f t="shared" ref="D60:U60" si="68">+D49-$C$49</f>
        <v>4135.7999999999993</v>
      </c>
      <c r="E60" s="78">
        <f t="shared" si="68"/>
        <v>625.21159999999145</v>
      </c>
      <c r="F60" s="78">
        <f t="shared" si="68"/>
        <v>924.88759999999093</v>
      </c>
      <c r="G60" s="78">
        <f t="shared" si="68"/>
        <v>1691.1367999999966</v>
      </c>
      <c r="H60" s="78">
        <f t="shared" si="68"/>
        <v>3951.3271999999961</v>
      </c>
      <c r="I60" s="78">
        <f t="shared" si="68"/>
        <v>2447.8111999999855</v>
      </c>
      <c r="J60" s="78">
        <f t="shared" si="68"/>
        <v>1487.6028679999908</v>
      </c>
      <c r="K60" s="78">
        <f t="shared" si="68"/>
        <v>486.0643999999993</v>
      </c>
      <c r="L60" s="78">
        <f t="shared" si="68"/>
        <v>1734.5551999999916</v>
      </c>
      <c r="M60" s="78">
        <f t="shared" si="68"/>
        <v>1084.6027999999897</v>
      </c>
      <c r="N60" s="78">
        <f t="shared" si="68"/>
        <v>154.27279999998791</v>
      </c>
      <c r="O60" s="78">
        <f t="shared" si="68"/>
        <v>1644.6523999999954</v>
      </c>
      <c r="P60" s="78">
        <f t="shared" si="68"/>
        <v>108.03319999999439</v>
      </c>
      <c r="Q60" s="78">
        <f t="shared" si="68"/>
        <v>2226.695199999991</v>
      </c>
      <c r="R60" s="78">
        <f t="shared" si="68"/>
        <v>1029.435199999989</v>
      </c>
      <c r="S60" s="78">
        <f t="shared" si="68"/>
        <v>6554.5927999999803</v>
      </c>
      <c r="T60" s="78">
        <f t="shared" si="68"/>
        <v>3053.9459999999926</v>
      </c>
      <c r="U60" s="78">
        <f t="shared" si="68"/>
        <v>1226.1631999999918</v>
      </c>
      <c r="Y60" s="61"/>
    </row>
    <row r="61" spans="2:81" ht="22.5" hidden="1">
      <c r="B61" s="121"/>
      <c r="C61" s="121"/>
      <c r="D61" s="77" t="str">
        <f>IF(D60&gt;0,"Al año podría cobrar más:"," ")</f>
        <v>Al año podría cobrar más:</v>
      </c>
      <c r="E61" s="77" t="str">
        <f t="shared" ref="E61:U61" si="69">IF(E60&gt;0,"Al año cobra más:"," ")</f>
        <v>Al año cobra más:</v>
      </c>
      <c r="F61" s="77" t="str">
        <f t="shared" si="69"/>
        <v>Al año cobra más:</v>
      </c>
      <c r="G61" s="77" t="str">
        <f t="shared" si="69"/>
        <v>Al año cobra más:</v>
      </c>
      <c r="H61" s="77" t="str">
        <f t="shared" si="69"/>
        <v>Al año cobra más:</v>
      </c>
      <c r="I61" s="77" t="str">
        <f t="shared" si="69"/>
        <v>Al año cobra más:</v>
      </c>
      <c r="J61" s="77" t="str">
        <f t="shared" si="69"/>
        <v>Al año cobra más:</v>
      </c>
      <c r="K61" s="77" t="str">
        <f t="shared" si="69"/>
        <v>Al año cobra más:</v>
      </c>
      <c r="L61" s="77" t="str">
        <f t="shared" si="69"/>
        <v>Al año cobra más:</v>
      </c>
      <c r="M61" s="77" t="str">
        <f t="shared" si="69"/>
        <v>Al año cobra más:</v>
      </c>
      <c r="N61" s="77" t="str">
        <f t="shared" si="69"/>
        <v>Al año cobra más:</v>
      </c>
      <c r="O61" s="77" t="str">
        <f t="shared" si="69"/>
        <v>Al año cobra más:</v>
      </c>
      <c r="P61" s="77" t="str">
        <f t="shared" si="69"/>
        <v>Al año cobra más:</v>
      </c>
      <c r="Q61" s="77" t="str">
        <f t="shared" si="69"/>
        <v>Al año cobra más:</v>
      </c>
      <c r="R61" s="77" t="str">
        <f t="shared" si="69"/>
        <v>Al año cobra más:</v>
      </c>
      <c r="S61" s="77" t="str">
        <f t="shared" si="69"/>
        <v>Al año cobra más:</v>
      </c>
      <c r="T61" s="77" t="str">
        <f t="shared" si="69"/>
        <v>Al año cobra más:</v>
      </c>
      <c r="U61" s="77" t="str">
        <f t="shared" si="69"/>
        <v>Al año cobra más:</v>
      </c>
      <c r="Y61" s="61"/>
    </row>
    <row r="62" spans="2:81" ht="12.95" hidden="1" customHeight="1">
      <c r="B62" s="121"/>
      <c r="C62" s="121"/>
      <c r="D62" s="86">
        <f>IF(D60&gt;0,D60," ")</f>
        <v>4135.7999999999993</v>
      </c>
      <c r="E62" s="78">
        <f t="shared" ref="E62:U62" si="70">IF(E60&gt;0,E60," ")</f>
        <v>625.21159999999145</v>
      </c>
      <c r="F62" s="78">
        <f t="shared" si="70"/>
        <v>924.88759999999093</v>
      </c>
      <c r="G62" s="78">
        <f t="shared" si="70"/>
        <v>1691.1367999999966</v>
      </c>
      <c r="H62" s="78">
        <f t="shared" si="70"/>
        <v>3951.3271999999961</v>
      </c>
      <c r="I62" s="78">
        <f t="shared" si="70"/>
        <v>2447.8111999999855</v>
      </c>
      <c r="J62" s="78">
        <f t="shared" si="70"/>
        <v>1487.6028679999908</v>
      </c>
      <c r="K62" s="78">
        <f t="shared" si="70"/>
        <v>486.0643999999993</v>
      </c>
      <c r="L62" s="78">
        <f t="shared" si="70"/>
        <v>1734.5551999999916</v>
      </c>
      <c r="M62" s="78">
        <f t="shared" si="70"/>
        <v>1084.6027999999897</v>
      </c>
      <c r="N62" s="78">
        <f t="shared" si="70"/>
        <v>154.27279999998791</v>
      </c>
      <c r="O62" s="78">
        <f t="shared" si="70"/>
        <v>1644.6523999999954</v>
      </c>
      <c r="P62" s="78">
        <f t="shared" si="70"/>
        <v>108.03319999999439</v>
      </c>
      <c r="Q62" s="78">
        <f t="shared" si="70"/>
        <v>2226.695199999991</v>
      </c>
      <c r="R62" s="78">
        <f t="shared" si="70"/>
        <v>1029.435199999989</v>
      </c>
      <c r="S62" s="78">
        <f t="shared" si="70"/>
        <v>6554.5927999999803</v>
      </c>
      <c r="T62" s="78">
        <f t="shared" si="70"/>
        <v>3053.9459999999926</v>
      </c>
      <c r="U62" s="78">
        <f t="shared" si="70"/>
        <v>1226.1631999999918</v>
      </c>
    </row>
    <row r="63" spans="2:81" ht="30" hidden="1" customHeight="1">
      <c r="B63" s="121"/>
      <c r="C63" s="121"/>
      <c r="D63" s="77" t="str">
        <f>IF(D60&lt;0,"Al año cobra menos:"," ")</f>
        <v xml:space="preserve"> </v>
      </c>
      <c r="E63" s="77" t="str">
        <f t="shared" ref="E63:U63" si="71">IF(E60&lt;0,"Al año cobra menos:"," ")</f>
        <v xml:space="preserve"> </v>
      </c>
      <c r="F63" s="77" t="str">
        <f t="shared" si="71"/>
        <v xml:space="preserve"> </v>
      </c>
      <c r="G63" s="77" t="str">
        <f t="shared" si="71"/>
        <v xml:space="preserve"> </v>
      </c>
      <c r="H63" s="77" t="str">
        <f t="shared" si="71"/>
        <v xml:space="preserve"> </v>
      </c>
      <c r="I63" s="77" t="str">
        <f t="shared" si="71"/>
        <v xml:space="preserve"> </v>
      </c>
      <c r="J63" s="77" t="str">
        <f t="shared" si="71"/>
        <v xml:space="preserve"> </v>
      </c>
      <c r="K63" s="77" t="str">
        <f t="shared" si="71"/>
        <v xml:space="preserve"> </v>
      </c>
      <c r="L63" s="77" t="str">
        <f t="shared" si="71"/>
        <v xml:space="preserve"> </v>
      </c>
      <c r="M63" s="77" t="str">
        <f t="shared" si="71"/>
        <v xml:space="preserve"> </v>
      </c>
      <c r="N63" s="77" t="str">
        <f t="shared" si="71"/>
        <v xml:space="preserve"> </v>
      </c>
      <c r="O63" s="77" t="str">
        <f t="shared" si="71"/>
        <v xml:space="preserve"> </v>
      </c>
      <c r="P63" s="77" t="str">
        <f t="shared" si="71"/>
        <v xml:space="preserve"> </v>
      </c>
      <c r="Q63" s="77" t="str">
        <f t="shared" si="71"/>
        <v xml:space="preserve"> </v>
      </c>
      <c r="R63" s="77" t="str">
        <f t="shared" si="71"/>
        <v xml:space="preserve"> </v>
      </c>
      <c r="S63" s="77" t="str">
        <f t="shared" si="71"/>
        <v xml:space="preserve"> </v>
      </c>
      <c r="T63" s="77" t="str">
        <f t="shared" si="71"/>
        <v xml:space="preserve"> </v>
      </c>
      <c r="U63" s="77" t="str">
        <f t="shared" si="71"/>
        <v xml:space="preserve"> </v>
      </c>
    </row>
    <row r="64" spans="2:81" ht="12.95" hidden="1" customHeight="1">
      <c r="B64" s="122"/>
      <c r="C64" s="122"/>
      <c r="D64" s="96" t="str">
        <f>IF(D60&lt;0,D60," ")</f>
        <v xml:space="preserve"> </v>
      </c>
      <c r="E64" s="96" t="str">
        <f t="shared" ref="E64:U64" si="72">IF(E60&lt;0,E60," ")</f>
        <v xml:space="preserve"> </v>
      </c>
      <c r="F64" s="96" t="str">
        <f t="shared" si="72"/>
        <v xml:space="preserve"> </v>
      </c>
      <c r="G64" s="96" t="str">
        <f t="shared" si="72"/>
        <v xml:space="preserve"> </v>
      </c>
      <c r="H64" s="96" t="str">
        <f t="shared" si="72"/>
        <v xml:space="preserve"> </v>
      </c>
      <c r="I64" s="96" t="str">
        <f t="shared" si="72"/>
        <v xml:space="preserve"> </v>
      </c>
      <c r="J64" s="96" t="str">
        <f t="shared" si="72"/>
        <v xml:space="preserve"> </v>
      </c>
      <c r="K64" s="96" t="str">
        <f t="shared" si="72"/>
        <v xml:space="preserve"> </v>
      </c>
      <c r="L64" s="96" t="str">
        <f t="shared" si="72"/>
        <v xml:space="preserve"> </v>
      </c>
      <c r="M64" s="96" t="str">
        <f t="shared" si="72"/>
        <v xml:space="preserve"> </v>
      </c>
      <c r="N64" s="96" t="str">
        <f t="shared" si="72"/>
        <v xml:space="preserve"> </v>
      </c>
      <c r="O64" s="96" t="str">
        <f t="shared" si="72"/>
        <v xml:space="preserve"> </v>
      </c>
      <c r="P64" s="96" t="str">
        <f t="shared" si="72"/>
        <v xml:space="preserve"> </v>
      </c>
      <c r="Q64" s="96" t="str">
        <f t="shared" si="72"/>
        <v xml:space="preserve"> </v>
      </c>
      <c r="R64" s="96" t="str">
        <f t="shared" si="72"/>
        <v xml:space="preserve"> </v>
      </c>
      <c r="S64" s="96" t="str">
        <f t="shared" si="72"/>
        <v xml:space="preserve"> </v>
      </c>
      <c r="T64" s="96" t="str">
        <f t="shared" si="72"/>
        <v xml:space="preserve"> </v>
      </c>
      <c r="U64" s="96" t="str">
        <f t="shared" si="72"/>
        <v xml:space="preserve"> </v>
      </c>
    </row>
    <row r="65" spans="2:81" ht="18" customHeight="1">
      <c r="B65" s="120" t="s">
        <v>118</v>
      </c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BM65" s="120"/>
      <c r="BN65" s="120"/>
      <c r="BO65" s="120"/>
      <c r="BP65" s="120"/>
      <c r="BQ65" s="120"/>
      <c r="BR65" s="120"/>
      <c r="BS65" s="120"/>
      <c r="BT65" s="120"/>
      <c r="BU65" s="120"/>
      <c r="BV65" s="120"/>
      <c r="BW65" s="120"/>
      <c r="BX65" s="120"/>
      <c r="BY65" s="120"/>
      <c r="BZ65" s="120"/>
      <c r="CA65" s="120"/>
      <c r="CB65" s="120"/>
      <c r="CC65" s="120"/>
    </row>
    <row r="66" spans="2:81" ht="18" customHeight="1">
      <c r="B66" s="97" t="s">
        <v>111</v>
      </c>
      <c r="C66" s="98">
        <f>+CC37</f>
        <v>-305</v>
      </c>
      <c r="D66" s="99" t="s">
        <v>113</v>
      </c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</row>
    <row r="67" spans="2:81" ht="18" customHeight="1">
      <c r="B67" s="97" t="s">
        <v>111</v>
      </c>
      <c r="C67" s="98">
        <f>+CC47</f>
        <v>-226.7156500000001</v>
      </c>
      <c r="D67" s="116" t="s">
        <v>112</v>
      </c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</row>
    <row r="68" spans="2:81" ht="18" customHeight="1">
      <c r="B68" s="97" t="s">
        <v>111</v>
      </c>
      <c r="C68" s="98">
        <f>+CC49</f>
        <v>-4135.7999999999993</v>
      </c>
      <c r="D68" s="116" t="s">
        <v>115</v>
      </c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</row>
    <row r="69" spans="2:81" ht="18" customHeight="1">
      <c r="B69" s="97" t="s">
        <v>111</v>
      </c>
      <c r="C69" s="98">
        <f>+CC52</f>
        <v>-3087.3747000000003</v>
      </c>
      <c r="D69" s="116" t="s">
        <v>114</v>
      </c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</row>
    <row r="70" spans="2:81" ht="12.95" customHeight="1">
      <c r="Y70" s="34" t="s">
        <v>13</v>
      </c>
      <c r="Z70" s="34">
        <v>0</v>
      </c>
    </row>
    <row r="71" spans="2:81" ht="12.95" customHeight="1">
      <c r="Y71" s="34" t="s">
        <v>10</v>
      </c>
      <c r="Z71" s="34">
        <v>1</v>
      </c>
      <c r="AA71" s="34" t="s">
        <v>33</v>
      </c>
    </row>
    <row r="72" spans="2:81" ht="12.95" customHeight="1">
      <c r="Z72" s="34">
        <v>2</v>
      </c>
      <c r="AA72" s="34" t="s">
        <v>34</v>
      </c>
    </row>
    <row r="73" spans="2:81" ht="12.95" customHeight="1">
      <c r="Z73" s="34">
        <v>3</v>
      </c>
    </row>
    <row r="74" spans="2:81" ht="12.95" customHeight="1">
      <c r="Z74" s="34">
        <v>4</v>
      </c>
      <c r="AH74" s="34">
        <v>185</v>
      </c>
      <c r="AI74" s="34">
        <f>+AH74+35</f>
        <v>220</v>
      </c>
      <c r="AJ74" s="34">
        <f t="shared" ref="AJ74:AT74" si="73">+AI74+35</f>
        <v>255</v>
      </c>
      <c r="AK74" s="34">
        <f t="shared" si="73"/>
        <v>290</v>
      </c>
      <c r="AL74" s="34">
        <f t="shared" si="73"/>
        <v>325</v>
      </c>
      <c r="AM74" s="34">
        <f t="shared" si="73"/>
        <v>360</v>
      </c>
      <c r="AN74" s="34">
        <f t="shared" si="73"/>
        <v>395</v>
      </c>
      <c r="AO74" s="34">
        <f t="shared" si="73"/>
        <v>430</v>
      </c>
      <c r="AP74" s="34">
        <f t="shared" si="73"/>
        <v>465</v>
      </c>
      <c r="AQ74" s="34">
        <f t="shared" si="73"/>
        <v>500</v>
      </c>
      <c r="AR74" s="34">
        <f t="shared" si="73"/>
        <v>535</v>
      </c>
      <c r="AS74" s="34">
        <f t="shared" si="73"/>
        <v>570</v>
      </c>
      <c r="AT74" s="34">
        <f t="shared" si="73"/>
        <v>605</v>
      </c>
    </row>
    <row r="75" spans="2:81" ht="12.95" customHeight="1">
      <c r="Z75" s="34">
        <v>5</v>
      </c>
      <c r="AA75" s="61" t="s">
        <v>39</v>
      </c>
      <c r="AB75" s="61"/>
      <c r="AC75" s="62" t="str">
        <f>+Retribuciones!C10</f>
        <v>Canarias</v>
      </c>
      <c r="AD75" s="62" t="str">
        <f>+Retribuciones!C45</f>
        <v>Andalucía</v>
      </c>
      <c r="AE75" s="62" t="str">
        <f>+Retribuciones!C80</f>
        <v>Aragón</v>
      </c>
      <c r="AF75" s="62" t="str">
        <f>+Retribuciones!C115</f>
        <v>Asturias</v>
      </c>
      <c r="AG75" s="62" t="str">
        <f>+Retribuciones!C150</f>
        <v>Baleares</v>
      </c>
      <c r="AH75" s="62" t="str">
        <f>+Retribuciones!C185</f>
        <v>Cantabria</v>
      </c>
      <c r="AI75" s="62" t="str">
        <f>+Retribuciones!C220</f>
        <v>Castilla La Mancha</v>
      </c>
      <c r="AJ75" s="62" t="str">
        <f>+Retribuciones!C255</f>
        <v>Castilla y León</v>
      </c>
      <c r="AK75" s="62" t="str">
        <f>+Retribuciones!C290</f>
        <v>Cataluña</v>
      </c>
      <c r="AL75" s="62" t="str">
        <f>+Retribuciones!C325</f>
        <v>Extremadura</v>
      </c>
      <c r="AM75" s="62" t="str">
        <f>+Retribuciones!C360</f>
        <v>Galicia</v>
      </c>
      <c r="AN75" s="62" t="str">
        <f>+Retribuciones!C395</f>
        <v>La Rioja</v>
      </c>
      <c r="AO75" s="62" t="str">
        <f>+Retribuciones!C430</f>
        <v>Madrid</v>
      </c>
      <c r="AP75" s="62" t="str">
        <f>+Retribuciones!C465</f>
        <v>Murcia</v>
      </c>
      <c r="AQ75" s="62" t="str">
        <f>+Retribuciones!C500</f>
        <v>Valencia</v>
      </c>
      <c r="AR75" s="62" t="str">
        <f>+Retribuciones!C535</f>
        <v>Ceuta y Melilla</v>
      </c>
      <c r="AS75" s="62" t="str">
        <f>+Retribuciones!C570</f>
        <v>País Vasco</v>
      </c>
      <c r="AT75" s="62" t="str">
        <f>+Retribuciones!C605</f>
        <v>Navarra</v>
      </c>
    </row>
    <row r="76" spans="2:81" ht="28.5" customHeight="1">
      <c r="Z76" s="34">
        <v>6</v>
      </c>
      <c r="AA76" s="61" t="s">
        <v>35</v>
      </c>
      <c r="AB76" s="63"/>
      <c r="AC76" s="64" t="str">
        <f>+Retribuciones!C11</f>
        <v>597-Maestros</v>
      </c>
      <c r="AD76" s="64" t="str">
        <f>+Retribuciones!C46</f>
        <v>597-Maestros</v>
      </c>
      <c r="AE76" s="64" t="str">
        <f>+Retribuciones!C81</f>
        <v>597-Maestros</v>
      </c>
      <c r="AF76" s="64" t="str">
        <f>+Retribuciones!C116</f>
        <v>597-Maestros</v>
      </c>
      <c r="AG76" s="64" t="str">
        <f>+Retribuciones!C151</f>
        <v>597-Maestros</v>
      </c>
      <c r="AH76" s="64" t="str">
        <f>+Retribuciones!C186</f>
        <v>597-Maestros</v>
      </c>
      <c r="AI76" s="64" t="str">
        <f>+Retribuciones!C221</f>
        <v>597-Maestros</v>
      </c>
      <c r="AJ76" s="64" t="str">
        <f>+Retribuciones!C256</f>
        <v>597-Maestros</v>
      </c>
      <c r="AK76" s="64" t="str">
        <f>+Retribuciones!C291</f>
        <v>597-Maestros</v>
      </c>
      <c r="AL76" s="64" t="str">
        <f>+Retribuciones!C326</f>
        <v>597-Maestros</v>
      </c>
      <c r="AM76" s="64" t="str">
        <f>+Retribuciones!C361</f>
        <v>597-Maestros</v>
      </c>
      <c r="AN76" s="64" t="str">
        <f>+Retribuciones!C396</f>
        <v>597-Maestros</v>
      </c>
      <c r="AO76" s="64" t="str">
        <f>+Retribuciones!C431</f>
        <v>597-Maestros</v>
      </c>
      <c r="AP76" s="64" t="str">
        <f>+Retribuciones!C466</f>
        <v>597-Maestros</v>
      </c>
      <c r="AQ76" s="64" t="str">
        <f>+Retribuciones!C501</f>
        <v>597-Maestros</v>
      </c>
      <c r="AR76" s="64" t="str">
        <f>+Retribuciones!C536</f>
        <v>597-Maestros</v>
      </c>
      <c r="AS76" s="64" t="str">
        <f>+Retribuciones!C571</f>
        <v>597-Maestros</v>
      </c>
      <c r="AT76" s="64" t="str">
        <f>+Retribuciones!C606</f>
        <v>597-Maestros</v>
      </c>
    </row>
    <row r="77" spans="2:81" ht="12.95" customHeight="1">
      <c r="Z77" s="34">
        <v>7</v>
      </c>
      <c r="AA77" s="61" t="s">
        <v>36</v>
      </c>
      <c r="AB77" s="65" t="s">
        <v>1</v>
      </c>
      <c r="AC77" s="62" t="str">
        <f>+Retribuciones!C12</f>
        <v>A2</v>
      </c>
      <c r="AD77" s="62" t="str">
        <f>+Retribuciones!C47</f>
        <v>A2</v>
      </c>
      <c r="AE77" s="62" t="str">
        <f>+Retribuciones!C82</f>
        <v>A2</v>
      </c>
      <c r="AF77" s="62" t="str">
        <f>+Retribuciones!C117</f>
        <v>A2</v>
      </c>
      <c r="AG77" s="62" t="str">
        <f>+Retribuciones!C152</f>
        <v>A2</v>
      </c>
      <c r="AH77" s="62" t="str">
        <f>+Retribuciones!C187</f>
        <v>A2</v>
      </c>
      <c r="AI77" s="62" t="str">
        <f>+Retribuciones!C222</f>
        <v>A2</v>
      </c>
      <c r="AJ77" s="62" t="str">
        <f>+Retribuciones!C257</f>
        <v>A2</v>
      </c>
      <c r="AK77" s="62" t="str">
        <f>+Retribuciones!C292</f>
        <v>A2</v>
      </c>
      <c r="AL77" s="62" t="str">
        <f>+Retribuciones!C327</f>
        <v>A2</v>
      </c>
      <c r="AM77" s="62" t="str">
        <f>+Retribuciones!C362</f>
        <v>A2</v>
      </c>
      <c r="AN77" s="62" t="str">
        <f>+Retribuciones!C397</f>
        <v>A2</v>
      </c>
      <c r="AO77" s="62" t="str">
        <f>+Retribuciones!C432</f>
        <v>A2</v>
      </c>
      <c r="AP77" s="62" t="str">
        <f>+Retribuciones!C467</f>
        <v>A2</v>
      </c>
      <c r="AQ77" s="62" t="str">
        <f>+Retribuciones!C502</f>
        <v>A2</v>
      </c>
      <c r="AR77" s="62" t="str">
        <f>+Retribuciones!C537</f>
        <v>A2</v>
      </c>
      <c r="AS77" s="62" t="str">
        <f>+Retribuciones!C572</f>
        <v>A2</v>
      </c>
      <c r="AT77" s="62" t="str">
        <f>+Retribuciones!C607</f>
        <v>A2</v>
      </c>
    </row>
    <row r="78" spans="2:81" ht="12.95" customHeight="1">
      <c r="Z78" s="34">
        <v>8</v>
      </c>
      <c r="AA78" s="61" t="s">
        <v>37</v>
      </c>
      <c r="AB78" s="65"/>
      <c r="AC78" s="62">
        <f>+Retribuciones!C13</f>
        <v>21</v>
      </c>
      <c r="AD78" s="62">
        <f>+Retribuciones!C48</f>
        <v>21</v>
      </c>
      <c r="AE78" s="62">
        <f>+Retribuciones!C83</f>
        <v>21</v>
      </c>
      <c r="AF78" s="62">
        <f>+Retribuciones!C118</f>
        <v>21</v>
      </c>
      <c r="AG78" s="62">
        <f>+Retribuciones!C153</f>
        <v>21</v>
      </c>
      <c r="AH78" s="62">
        <f>+Retribuciones!C188</f>
        <v>21</v>
      </c>
      <c r="AI78" s="62">
        <f>+Retribuciones!C223</f>
        <v>21</v>
      </c>
      <c r="AJ78" s="62">
        <f>+Retribuciones!C258</f>
        <v>21</v>
      </c>
      <c r="AK78" s="62">
        <f>+Retribuciones!C293</f>
        <v>21</v>
      </c>
      <c r="AL78" s="62">
        <f>+Retribuciones!C328</f>
        <v>21</v>
      </c>
      <c r="AM78" s="62">
        <f>+Retribuciones!C363</f>
        <v>21</v>
      </c>
      <c r="AN78" s="62">
        <f>+Retribuciones!C398</f>
        <v>21</v>
      </c>
      <c r="AO78" s="62">
        <f>+Retribuciones!C433</f>
        <v>21</v>
      </c>
      <c r="AP78" s="62">
        <f>+Retribuciones!C468</f>
        <v>21</v>
      </c>
      <c r="AQ78" s="62">
        <f>+Retribuciones!C503</f>
        <v>21</v>
      </c>
      <c r="AR78" s="62">
        <f>+Retribuciones!C538</f>
        <v>21</v>
      </c>
      <c r="AS78" s="62">
        <f>+Retribuciones!C573</f>
        <v>21</v>
      </c>
      <c r="AT78" s="62">
        <f>+Retribuciones!C608</f>
        <v>21</v>
      </c>
    </row>
    <row r="79" spans="2:81" ht="12.95" customHeight="1">
      <c r="Z79" s="34">
        <v>9</v>
      </c>
      <c r="AA79" s="61" t="s">
        <v>38</v>
      </c>
      <c r="AB79" s="66" t="s">
        <v>2</v>
      </c>
      <c r="AC79" s="67">
        <f>+Retribuciones!C14</f>
        <v>958.98</v>
      </c>
      <c r="AD79" s="67">
        <f>+Retribuciones!C49</f>
        <v>958.98</v>
      </c>
      <c r="AE79" s="67">
        <f>+Retribuciones!C84</f>
        <v>958.98</v>
      </c>
      <c r="AF79" s="67">
        <f>+Retribuciones!C119</f>
        <v>958.98</v>
      </c>
      <c r="AG79" s="67">
        <f>+Retribuciones!C154</f>
        <v>958.98</v>
      </c>
      <c r="AH79" s="67">
        <f>+Retribuciones!C189</f>
        <v>958.98</v>
      </c>
      <c r="AI79" s="67">
        <f>+Retribuciones!C224</f>
        <v>958.98</v>
      </c>
      <c r="AJ79" s="67">
        <f>+Retribuciones!C259</f>
        <v>958.98</v>
      </c>
      <c r="AK79" s="67">
        <f>+Retribuciones!C294</f>
        <v>958.98</v>
      </c>
      <c r="AL79" s="67">
        <f>+Retribuciones!C329</f>
        <v>958.98</v>
      </c>
      <c r="AM79" s="67">
        <f>+Retribuciones!C364</f>
        <v>958.98</v>
      </c>
      <c r="AN79" s="67">
        <f>+Retribuciones!C399</f>
        <v>958.98</v>
      </c>
      <c r="AO79" s="67">
        <f>+Retribuciones!C434</f>
        <v>958.98</v>
      </c>
      <c r="AP79" s="67">
        <f>+Retribuciones!C469</f>
        <v>958.98</v>
      </c>
      <c r="AQ79" s="67">
        <f>+Retribuciones!C504</f>
        <v>958.98</v>
      </c>
      <c r="AR79" s="67">
        <f>+Retribuciones!C539</f>
        <v>958.98</v>
      </c>
      <c r="AS79" s="67">
        <f>+Retribuciones!C574</f>
        <v>958.98</v>
      </c>
      <c r="AT79" s="67">
        <f>+Retribuciones!C609</f>
        <v>1519.2</v>
      </c>
    </row>
    <row r="80" spans="2:81" ht="12.95" customHeight="1">
      <c r="Z80" s="34">
        <v>10</v>
      </c>
      <c r="AA80" s="61" t="s">
        <v>40</v>
      </c>
      <c r="AB80" s="66" t="s">
        <v>64</v>
      </c>
      <c r="AC80" s="67">
        <f>+Retribuciones!C15</f>
        <v>699.38</v>
      </c>
      <c r="AD80" s="67">
        <f>+Retribuciones!C50</f>
        <v>699.38</v>
      </c>
      <c r="AE80" s="67">
        <f>+Retribuciones!C85</f>
        <v>699.38</v>
      </c>
      <c r="AF80" s="67">
        <f>+Retribuciones!C120</f>
        <v>699.38</v>
      </c>
      <c r="AG80" s="67">
        <f>+Retribuciones!C155</f>
        <v>699.38</v>
      </c>
      <c r="AH80" s="67">
        <f>+Retribuciones!C190</f>
        <v>699.38</v>
      </c>
      <c r="AI80" s="67">
        <f>+Retribuciones!C225</f>
        <v>699.38</v>
      </c>
      <c r="AJ80" s="67">
        <f>+Retribuciones!C260</f>
        <v>699.38</v>
      </c>
      <c r="AK80" s="67">
        <f>+Retribuciones!C295</f>
        <v>699.38</v>
      </c>
      <c r="AL80" s="67">
        <f>+Retribuciones!C330</f>
        <v>699.38</v>
      </c>
      <c r="AM80" s="67">
        <f>+Retribuciones!C365</f>
        <v>699.38</v>
      </c>
      <c r="AN80" s="67">
        <f>+Retribuciones!C400</f>
        <v>699.38</v>
      </c>
      <c r="AO80" s="67">
        <f>+Retribuciones!C435</f>
        <v>699.38</v>
      </c>
      <c r="AP80" s="67">
        <f>+Retribuciones!C470</f>
        <v>699.38</v>
      </c>
      <c r="AQ80" s="67">
        <f>+Retribuciones!C505</f>
        <v>699.38</v>
      </c>
      <c r="AR80" s="67">
        <f>+Retribuciones!C540</f>
        <v>699.38</v>
      </c>
      <c r="AS80" s="67">
        <f>+Retribuciones!C575</f>
        <v>699.38</v>
      </c>
      <c r="AT80" s="67">
        <f>+Retribuciones!C610</f>
        <v>1519.2</v>
      </c>
    </row>
    <row r="81" spans="26:46" ht="12.95" customHeight="1">
      <c r="Z81" s="34">
        <v>11</v>
      </c>
      <c r="AA81" s="61" t="s">
        <v>41</v>
      </c>
      <c r="AB81" s="66" t="s">
        <v>3</v>
      </c>
      <c r="AC81" s="67">
        <f>+Retribuciones!C16</f>
        <v>34.770000000000003</v>
      </c>
      <c r="AD81" s="67">
        <f>+Retribuciones!C51</f>
        <v>34.770000000000003</v>
      </c>
      <c r="AE81" s="67">
        <f>+Retribuciones!C86</f>
        <v>34.770000000000003</v>
      </c>
      <c r="AF81" s="67">
        <f>+Retribuciones!C121</f>
        <v>34.770000000000003</v>
      </c>
      <c r="AG81" s="67">
        <f>+Retribuciones!C156</f>
        <v>34.770000000000003</v>
      </c>
      <c r="AH81" s="67">
        <f>+Retribuciones!C191</f>
        <v>34.770000000000003</v>
      </c>
      <c r="AI81" s="67">
        <f>+Retribuciones!C226</f>
        <v>34.770000000000003</v>
      </c>
      <c r="AJ81" s="67">
        <f>+Retribuciones!C261</f>
        <v>34.770000000000003</v>
      </c>
      <c r="AK81" s="67">
        <f>+Retribuciones!C296</f>
        <v>34.770000000000003</v>
      </c>
      <c r="AL81" s="67">
        <f>+Retribuciones!C331</f>
        <v>34.770000000000003</v>
      </c>
      <c r="AM81" s="67">
        <f>+Retribuciones!C366</f>
        <v>34.770000000000003</v>
      </c>
      <c r="AN81" s="67">
        <f>+Retribuciones!C401</f>
        <v>34.770000000000003</v>
      </c>
      <c r="AO81" s="67">
        <f>+Retribuciones!C436</f>
        <v>34.770000000000003</v>
      </c>
      <c r="AP81" s="67">
        <f>+Retribuciones!C471</f>
        <v>34.770000000000003</v>
      </c>
      <c r="AQ81" s="67">
        <f>+Retribuciones!C506</f>
        <v>34.770000000000003</v>
      </c>
      <c r="AR81" s="67">
        <f>+Retribuciones!C541</f>
        <v>34.770000000000003</v>
      </c>
      <c r="AS81" s="67">
        <f>+Retribuciones!C576</f>
        <v>34.770000000000003</v>
      </c>
      <c r="AT81" s="67">
        <f>+Retribuciones!C611</f>
        <v>0</v>
      </c>
    </row>
    <row r="82" spans="26:46" ht="12.95" customHeight="1">
      <c r="Z82" s="34">
        <v>12</v>
      </c>
      <c r="AA82" s="61" t="s">
        <v>42</v>
      </c>
      <c r="AB82" s="66" t="s">
        <v>65</v>
      </c>
      <c r="AC82" s="67">
        <f>+Retribuciones!C17</f>
        <v>25.35</v>
      </c>
      <c r="AD82" s="67">
        <f>+Retribuciones!C52</f>
        <v>25.35</v>
      </c>
      <c r="AE82" s="67">
        <f>+Retribuciones!C87</f>
        <v>25.35</v>
      </c>
      <c r="AF82" s="67">
        <f>+Retribuciones!C122</f>
        <v>25.35</v>
      </c>
      <c r="AG82" s="67">
        <f>+Retribuciones!C157</f>
        <v>25.35</v>
      </c>
      <c r="AH82" s="67">
        <f>+Retribuciones!C192</f>
        <v>25.35</v>
      </c>
      <c r="AI82" s="67">
        <f>+Retribuciones!C227</f>
        <v>25.35</v>
      </c>
      <c r="AJ82" s="67">
        <f>+Retribuciones!C262</f>
        <v>25.35</v>
      </c>
      <c r="AK82" s="67">
        <f>+Retribuciones!C297</f>
        <v>25.35</v>
      </c>
      <c r="AL82" s="67">
        <f>+Retribuciones!C332</f>
        <v>25.35</v>
      </c>
      <c r="AM82" s="67">
        <f>+Retribuciones!C367</f>
        <v>25.35</v>
      </c>
      <c r="AN82" s="67">
        <f>+Retribuciones!C402</f>
        <v>25.35</v>
      </c>
      <c r="AO82" s="67">
        <f>+Retribuciones!C437</f>
        <v>25.35</v>
      </c>
      <c r="AP82" s="67">
        <f>+Retribuciones!C472</f>
        <v>25.35</v>
      </c>
      <c r="AQ82" s="67">
        <f>+Retribuciones!C507</f>
        <v>25.35</v>
      </c>
      <c r="AR82" s="67">
        <f>+Retribuciones!C542</f>
        <v>25.35</v>
      </c>
      <c r="AS82" s="67">
        <f>+Retribuciones!C577</f>
        <v>25.35</v>
      </c>
      <c r="AT82" s="67">
        <f>+Retribuciones!C612</f>
        <v>0</v>
      </c>
    </row>
    <row r="83" spans="26:46" ht="12.95" customHeight="1">
      <c r="Z83" s="34">
        <v>13</v>
      </c>
      <c r="AA83" s="61" t="s">
        <v>43</v>
      </c>
      <c r="AB83" s="66" t="s">
        <v>4</v>
      </c>
      <c r="AC83" s="67">
        <f>+Retribuciones!C18</f>
        <v>479.88</v>
      </c>
      <c r="AD83" s="67">
        <f>+Retribuciones!C53</f>
        <v>473.35</v>
      </c>
      <c r="AE83" s="67">
        <f>+Retribuciones!C88</f>
        <v>473.35</v>
      </c>
      <c r="AF83" s="67">
        <f>+Retribuciones!C123</f>
        <v>480.07</v>
      </c>
      <c r="AG83" s="67">
        <f>+Retribuciones!C158</f>
        <v>473.35</v>
      </c>
      <c r="AH83" s="67">
        <f>+Retribuciones!C193</f>
        <v>473.35</v>
      </c>
      <c r="AI83" s="67">
        <f>+Retribuciones!C228</f>
        <v>473.35</v>
      </c>
      <c r="AJ83" s="67">
        <f>+Retribuciones!C263</f>
        <v>473.35</v>
      </c>
      <c r="AK83" s="67">
        <f>+Retribuciones!C298</f>
        <v>473.35</v>
      </c>
      <c r="AL83" s="67">
        <f>+Retribuciones!C333</f>
        <v>473.35</v>
      </c>
      <c r="AM83" s="67">
        <f>+Retribuciones!C368</f>
        <v>473.35</v>
      </c>
      <c r="AN83" s="67">
        <f>+Retribuciones!C403</f>
        <v>473.35</v>
      </c>
      <c r="AO83" s="67">
        <f>+Retribuciones!C438</f>
        <v>473.35</v>
      </c>
      <c r="AP83" s="67">
        <f>+Retribuciones!C473</f>
        <v>473.35</v>
      </c>
      <c r="AQ83" s="67">
        <f>+Retribuciones!C508</f>
        <v>473.35</v>
      </c>
      <c r="AR83" s="67">
        <f>+Retribuciones!C543</f>
        <v>473.35</v>
      </c>
      <c r="AS83" s="67">
        <f>+Retribuciones!C578</f>
        <v>560.58000000000004</v>
      </c>
      <c r="AT83" s="67">
        <f>+Retribuciones!C613</f>
        <v>0</v>
      </c>
    </row>
    <row r="84" spans="26:46" ht="12.95" customHeight="1">
      <c r="Z84" s="34">
        <v>14</v>
      </c>
      <c r="AA84" s="61" t="s">
        <v>44</v>
      </c>
      <c r="AB84" s="66" t="s">
        <v>5</v>
      </c>
      <c r="AC84" s="67">
        <f>+Retribuciones!C19</f>
        <v>654.28</v>
      </c>
      <c r="AD84" s="67">
        <f>+Retribuciones!C54</f>
        <v>561.02</v>
      </c>
      <c r="AE84" s="67">
        <f>+Retribuciones!C89</f>
        <v>549.32000000000005</v>
      </c>
      <c r="AF84" s="67">
        <f>+Retribuciones!C124</f>
        <v>488.33</v>
      </c>
      <c r="AG84" s="67">
        <f>+Retribuciones!C159</f>
        <v>232.72</v>
      </c>
      <c r="AH84" s="67">
        <f>+Retribuciones!C194</f>
        <v>699.62</v>
      </c>
      <c r="AI84" s="67">
        <f>+Retribuciones!C229</f>
        <v>235.66</v>
      </c>
      <c r="AJ84" s="67">
        <f>+Retribuciones!C264</f>
        <v>235.18</v>
      </c>
      <c r="AK84" s="67">
        <f>+Retribuciones!C299</f>
        <v>558.66</v>
      </c>
      <c r="AL84" s="67">
        <f>+Retribuciones!C334</f>
        <v>443.93</v>
      </c>
      <c r="AM84" s="67">
        <f>+Retribuciones!C369</f>
        <v>539.29</v>
      </c>
      <c r="AN84" s="67">
        <f>+Retribuciones!C404</f>
        <v>651.9</v>
      </c>
      <c r="AO84" s="67">
        <f>+Retribuciones!C439</f>
        <v>227.4</v>
      </c>
      <c r="AP84" s="67">
        <f>+Retribuciones!C474</f>
        <v>295.13</v>
      </c>
      <c r="AQ84" s="67">
        <f>+Retribuciones!C509</f>
        <v>589.49</v>
      </c>
      <c r="AR84" s="67">
        <f>+Retribuciones!C544</f>
        <v>373.12</v>
      </c>
      <c r="AS84" s="67">
        <f>+Retribuciones!C579</f>
        <v>816.27</v>
      </c>
      <c r="AT84" s="67">
        <f>+Retribuciones!C614</f>
        <v>578.36</v>
      </c>
    </row>
    <row r="85" spans="26:46" ht="12.95" customHeight="1">
      <c r="Z85" s="34">
        <v>15</v>
      </c>
      <c r="AA85" s="61" t="s">
        <v>45</v>
      </c>
      <c r="AB85" s="68" t="s">
        <v>66</v>
      </c>
      <c r="AC85" s="67">
        <f>+Retribuciones!C20</f>
        <v>0</v>
      </c>
      <c r="AD85" s="67">
        <f>+Retribuciones!C55</f>
        <v>0</v>
      </c>
      <c r="AE85" s="67">
        <f>+Retribuciones!C90</f>
        <v>0</v>
      </c>
      <c r="AF85" s="67">
        <f>+Retribuciones!C125</f>
        <v>132.18</v>
      </c>
      <c r="AG85" s="67">
        <f>+Retribuciones!C160</f>
        <v>334.58</v>
      </c>
      <c r="AH85" s="67">
        <f>+Retribuciones!C195</f>
        <v>0</v>
      </c>
      <c r="AI85" s="67">
        <f>+Retribuciones!C230</f>
        <v>475.92</v>
      </c>
      <c r="AJ85" s="67">
        <f>+Retribuciones!C265</f>
        <v>326.39</v>
      </c>
      <c r="AK85" s="67">
        <f>+Retribuciones!C300</f>
        <v>0</v>
      </c>
      <c r="AL85" s="67">
        <f>+Retribuciones!C335</f>
        <v>155.13999999999999</v>
      </c>
      <c r="AM85" s="67">
        <f>+Retribuciones!C370</f>
        <v>0</v>
      </c>
      <c r="AN85" s="67">
        <f>+Retribuciones!C405</f>
        <v>0</v>
      </c>
      <c r="AO85" s="67">
        <f>+Retribuciones!C440</f>
        <v>331.47</v>
      </c>
      <c r="AP85" s="67">
        <f>+Retribuciones!C475</f>
        <v>350.08</v>
      </c>
      <c r="AQ85" s="67">
        <f>+Retribuciones!C510</f>
        <v>0</v>
      </c>
      <c r="AR85" s="67">
        <f>+Retribuciones!C545</f>
        <v>656.16</v>
      </c>
      <c r="AS85" s="67">
        <f>+Retribuciones!C580</f>
        <v>0</v>
      </c>
      <c r="AT85" s="67">
        <f>+Retribuciones!C615</f>
        <v>0</v>
      </c>
    </row>
    <row r="86" spans="26:46" ht="12.95" customHeight="1">
      <c r="Z86" s="34">
        <v>16</v>
      </c>
      <c r="AA86" s="61" t="s">
        <v>46</v>
      </c>
      <c r="AB86" s="68" t="s">
        <v>80</v>
      </c>
      <c r="AC86" s="67">
        <f>+Retribuciones!C21</f>
        <v>0</v>
      </c>
      <c r="AD86" s="67">
        <f>+Retribuciones!C56</f>
        <v>0</v>
      </c>
      <c r="AE86" s="67">
        <f>+Retribuciones!C91</f>
        <v>0</v>
      </c>
      <c r="AF86" s="67">
        <f>+Retribuciones!C126</f>
        <v>35.200000000000003</v>
      </c>
      <c r="AG86" s="67">
        <f>+Retribuciones!C161</f>
        <v>13.980000000000018</v>
      </c>
      <c r="AH86" s="67">
        <f>+Retribuciones!C196</f>
        <v>15.29</v>
      </c>
      <c r="AI86" s="67">
        <f>+Retribuciones!C231</f>
        <v>0</v>
      </c>
      <c r="AJ86" s="67">
        <f>+Retribuciones!C266</f>
        <v>0</v>
      </c>
      <c r="AK86" s="67">
        <f>+Retribuciones!C301</f>
        <v>0</v>
      </c>
      <c r="AL86" s="67">
        <f>+Retribuciones!C336</f>
        <v>0</v>
      </c>
      <c r="AM86" s="67">
        <f>+Retribuciones!C371</f>
        <v>0</v>
      </c>
      <c r="AN86" s="67">
        <f>+Retribuciones!C406</f>
        <v>0</v>
      </c>
      <c r="AO86" s="67">
        <f>+Retribuciones!C441</f>
        <v>0</v>
      </c>
      <c r="AP86" s="67">
        <f>+Retribuciones!C476</f>
        <v>0</v>
      </c>
      <c r="AQ86" s="67">
        <f>+Retribuciones!C511</f>
        <v>0</v>
      </c>
      <c r="AR86" s="67">
        <f>+Retribuciones!C546</f>
        <v>0</v>
      </c>
      <c r="AS86" s="67">
        <f>+Retribuciones!C581</f>
        <v>0</v>
      </c>
      <c r="AT86" s="67">
        <f>+Retribuciones!C616</f>
        <v>0</v>
      </c>
    </row>
    <row r="87" spans="26:46" ht="12.95" customHeight="1">
      <c r="Z87" s="34">
        <v>17</v>
      </c>
      <c r="AA87" s="61" t="s">
        <v>47</v>
      </c>
      <c r="AB87" s="68" t="s">
        <v>26</v>
      </c>
      <c r="AC87" s="67">
        <f>+Retribuciones!C22</f>
        <v>90</v>
      </c>
      <c r="AD87" s="67">
        <f>+Retribuciones!C57</f>
        <v>68.41</v>
      </c>
      <c r="AE87" s="67">
        <f>+Retribuciones!C92</f>
        <v>77.180000000000007</v>
      </c>
      <c r="AF87" s="67">
        <f>+Retribuciones!C127</f>
        <v>96.47</v>
      </c>
      <c r="AG87" s="67">
        <f>+Retribuciones!C162</f>
        <v>119.69999999999999</v>
      </c>
      <c r="AH87" s="67">
        <f>+Retribuciones!C197</f>
        <v>73.72</v>
      </c>
      <c r="AI87" s="67">
        <f>+Retribuciones!C232</f>
        <v>75.48</v>
      </c>
      <c r="AJ87" s="67">
        <f>+Retribuciones!C267</f>
        <v>56.1</v>
      </c>
      <c r="AK87" s="67">
        <f>+Retribuciones!C302</f>
        <v>102.97</v>
      </c>
      <c r="AL87" s="67">
        <f>+Retribuciones!C337</f>
        <v>55.51</v>
      </c>
      <c r="AM87" s="67">
        <f>+Retribuciones!C372</f>
        <v>59.21</v>
      </c>
      <c r="AN87" s="67">
        <f>+Retribuciones!C407</f>
        <v>59.37</v>
      </c>
      <c r="AO87" s="67">
        <f>+Retribuciones!C442</f>
        <v>54.25</v>
      </c>
      <c r="AP87" s="67">
        <f>+Retribuciones!C477</f>
        <v>56.3</v>
      </c>
      <c r="AQ87" s="67">
        <f>+Retribuciones!C512</f>
        <v>76.97</v>
      </c>
      <c r="AR87" s="67">
        <f>+Retribuciones!C547</f>
        <v>55.51</v>
      </c>
      <c r="AS87" s="67">
        <f>+Retribuciones!C582</f>
        <v>77.36</v>
      </c>
      <c r="AT87" s="67">
        <f>+Retribuciones!C617</f>
        <v>0</v>
      </c>
    </row>
    <row r="88" spans="26:46" ht="12.95" customHeight="1">
      <c r="Z88" s="34">
        <v>18</v>
      </c>
      <c r="AA88" s="61" t="s">
        <v>48</v>
      </c>
      <c r="AB88" s="68" t="s">
        <v>27</v>
      </c>
      <c r="AC88" s="67">
        <f>+Retribuciones!C23</f>
        <v>100</v>
      </c>
      <c r="AD88" s="67">
        <f>+Retribuciones!C58</f>
        <v>79.53</v>
      </c>
      <c r="AE88" s="67">
        <f>+Retribuciones!C93</f>
        <v>91.57</v>
      </c>
      <c r="AF88" s="67">
        <f>+Retribuciones!C128</f>
        <v>70.97</v>
      </c>
      <c r="AG88" s="67">
        <f>+Retribuciones!C163</f>
        <v>105.95</v>
      </c>
      <c r="AH88" s="67">
        <f>+Retribuciones!C198</f>
        <v>73.72</v>
      </c>
      <c r="AI88" s="67">
        <f>+Retribuciones!C233</f>
        <v>70.92</v>
      </c>
      <c r="AJ88" s="67">
        <f>+Retribuciones!C268</f>
        <v>70.78</v>
      </c>
      <c r="AK88" s="67">
        <f>+Retribuciones!C303</f>
        <v>108.29</v>
      </c>
      <c r="AL88" s="67">
        <f>+Retribuciones!C338</f>
        <v>70</v>
      </c>
      <c r="AM88" s="67">
        <f>+Retribuciones!C373</f>
        <v>76.13</v>
      </c>
      <c r="AN88" s="67">
        <f>+Retribuciones!C408</f>
        <v>74.92</v>
      </c>
      <c r="AO88" s="67">
        <f>+Retribuciones!C443</f>
        <v>68.430000000000007</v>
      </c>
      <c r="AP88" s="67">
        <f>+Retribuciones!C478</f>
        <v>71.03</v>
      </c>
      <c r="AQ88" s="67">
        <f>+Retribuciones!C513</f>
        <v>81</v>
      </c>
      <c r="AR88" s="67">
        <f>+Retribuciones!C548</f>
        <v>70.040000000000006</v>
      </c>
      <c r="AS88" s="67">
        <f>+Retribuciones!C583</f>
        <v>0</v>
      </c>
      <c r="AT88" s="67">
        <f>+Retribuciones!C618</f>
        <v>0</v>
      </c>
    </row>
    <row r="89" spans="26:46" ht="12.95" customHeight="1">
      <c r="Z89" s="34">
        <v>19</v>
      </c>
      <c r="AA89" s="61" t="s">
        <v>49</v>
      </c>
      <c r="AB89" s="68" t="s">
        <v>28</v>
      </c>
      <c r="AC89" s="67">
        <f>+Retribuciones!C24</f>
        <v>115</v>
      </c>
      <c r="AD89" s="67">
        <f>+Retribuciones!C59</f>
        <v>101.93</v>
      </c>
      <c r="AE89" s="67">
        <f>+Retribuciones!C94</f>
        <v>114.92</v>
      </c>
      <c r="AF89" s="67">
        <f>+Retribuciones!C129</f>
        <v>94.61</v>
      </c>
      <c r="AG89" s="67">
        <f>+Retribuciones!C164</f>
        <v>106.45</v>
      </c>
      <c r="AH89" s="67">
        <f>+Retribuciones!C199</f>
        <v>98.24</v>
      </c>
      <c r="AI89" s="67">
        <f>+Retribuciones!C234</f>
        <v>94.51</v>
      </c>
      <c r="AJ89" s="67">
        <f>+Retribuciones!C269</f>
        <v>94.32</v>
      </c>
      <c r="AK89" s="67">
        <f>+Retribuciones!C304</f>
        <v>122.78</v>
      </c>
      <c r="AL89" s="67">
        <f>+Retribuciones!C339</f>
        <v>93.33</v>
      </c>
      <c r="AM89" s="67">
        <f>+Retribuciones!C374</f>
        <v>101.53</v>
      </c>
      <c r="AN89" s="67">
        <f>+Retribuciones!C409</f>
        <v>99.88</v>
      </c>
      <c r="AO89" s="67">
        <f>+Retribuciones!C444</f>
        <v>91.2</v>
      </c>
      <c r="AP89" s="67">
        <f>+Retribuciones!C479</f>
        <v>94.66</v>
      </c>
      <c r="AQ89" s="67">
        <f>+Retribuciones!C514</f>
        <v>93.24</v>
      </c>
      <c r="AR89" s="67">
        <f>+Retribuciones!C549</f>
        <v>93.33</v>
      </c>
      <c r="AS89" s="67">
        <f>+Retribuciones!C584</f>
        <v>0</v>
      </c>
      <c r="AT89" s="67">
        <f>+Retribuciones!C619</f>
        <v>0</v>
      </c>
    </row>
    <row r="90" spans="26:46" ht="12.95" customHeight="1">
      <c r="Z90" s="34">
        <v>20</v>
      </c>
      <c r="AA90" s="61" t="s">
        <v>50</v>
      </c>
      <c r="AB90" s="68" t="s">
        <v>29</v>
      </c>
      <c r="AC90" s="67">
        <f>+Retribuciones!C25</f>
        <v>130</v>
      </c>
      <c r="AD90" s="67">
        <f>+Retribuciones!C60</f>
        <v>129.49</v>
      </c>
      <c r="AE90" s="67">
        <f>+Retribuciones!C95</f>
        <v>130.13</v>
      </c>
      <c r="AF90" s="67">
        <f>+Retribuciones!C130</f>
        <v>129.51</v>
      </c>
      <c r="AG90" s="67">
        <f>+Retribuciones!C165</f>
        <v>107</v>
      </c>
      <c r="AH90" s="67">
        <f>+Retribuciones!C200</f>
        <v>134.25</v>
      </c>
      <c r="AI90" s="67">
        <f>+Retribuciones!C235</f>
        <v>129.34</v>
      </c>
      <c r="AJ90" s="67">
        <f>+Retribuciones!C270</f>
        <v>129.07</v>
      </c>
      <c r="AK90" s="67">
        <f>+Retribuciones!C305</f>
        <v>132.96</v>
      </c>
      <c r="AL90" s="67">
        <f>+Retribuciones!C340</f>
        <v>127.72</v>
      </c>
      <c r="AM90" s="67">
        <f>+Retribuciones!C375</f>
        <v>143.81</v>
      </c>
      <c r="AN90" s="67">
        <f>+Retribuciones!C410</f>
        <v>136.68</v>
      </c>
      <c r="AO90" s="67">
        <f>+Retribuciones!C445</f>
        <v>124.83</v>
      </c>
      <c r="AP90" s="67">
        <f>+Retribuciones!C480</f>
        <v>129.54</v>
      </c>
      <c r="AQ90" s="67">
        <f>+Retribuciones!C515</f>
        <v>101.49</v>
      </c>
      <c r="AR90" s="67">
        <f>+Retribuciones!C550</f>
        <v>127.72</v>
      </c>
      <c r="AS90" s="67">
        <f>+Retribuciones!C585</f>
        <v>46.15</v>
      </c>
      <c r="AT90" s="67">
        <f>+Retribuciones!C620</f>
        <v>326.56</v>
      </c>
    </row>
    <row r="91" spans="26:46" ht="12.95" customHeight="1">
      <c r="Z91" s="34">
        <v>21</v>
      </c>
      <c r="AA91" s="61" t="s">
        <v>51</v>
      </c>
      <c r="AB91" s="68" t="s">
        <v>30</v>
      </c>
      <c r="AC91" s="67">
        <f>+Retribuciones!C26</f>
        <v>70</v>
      </c>
      <c r="AD91" s="67">
        <f>+Retribuciones!C61</f>
        <v>50.57</v>
      </c>
      <c r="AE91" s="67">
        <f>+Retribuciones!C96</f>
        <v>48.03</v>
      </c>
      <c r="AF91" s="67">
        <f>+Retribuciones!C131</f>
        <v>38.1</v>
      </c>
      <c r="AG91" s="67">
        <f>+Retribuciones!C166</f>
        <v>105.4</v>
      </c>
      <c r="AH91" s="67">
        <f>+Retribuciones!C201</f>
        <v>39.58</v>
      </c>
      <c r="AI91" s="67">
        <f>+Retribuciones!C236</f>
        <v>49.64</v>
      </c>
      <c r="AJ91" s="67">
        <f>+Retribuciones!C271</f>
        <v>38</v>
      </c>
      <c r="AK91" s="67">
        <f>+Retribuciones!C306</f>
        <v>116.38</v>
      </c>
      <c r="AL91" s="67">
        <f>+Retribuciones!C341</f>
        <v>37.61</v>
      </c>
      <c r="AM91" s="67">
        <f>+Retribuciones!C376</f>
        <v>42.29</v>
      </c>
      <c r="AN91" s="67">
        <f>+Retribuciones!C411</f>
        <v>40.22</v>
      </c>
      <c r="AO91" s="67">
        <f>+Retribuciones!C446</f>
        <v>36.75</v>
      </c>
      <c r="AP91" s="67">
        <f>+Retribuciones!C481</f>
        <v>38.14</v>
      </c>
      <c r="AQ91" s="67">
        <f>+Retribuciones!C516</f>
        <v>59</v>
      </c>
      <c r="AR91" s="67">
        <f>+Retribuciones!C551</f>
        <v>37.61</v>
      </c>
      <c r="AS91" s="67">
        <f>+Retribuciones!C586</f>
        <v>38.24</v>
      </c>
      <c r="AT91" s="67">
        <f>+Retribuciones!C621</f>
        <v>0</v>
      </c>
    </row>
    <row r="92" spans="26:46" ht="12.95" customHeight="1">
      <c r="Z92" s="34">
        <v>22</v>
      </c>
      <c r="AB92" s="68" t="s">
        <v>32</v>
      </c>
      <c r="AC92" s="67">
        <f>+Retribuciones!C27</f>
        <v>0</v>
      </c>
      <c r="AD92" s="67">
        <f>+Retribuciones!C62</f>
        <v>25.49</v>
      </c>
      <c r="AE92" s="67">
        <f>+Retribuciones!C97</f>
        <v>0</v>
      </c>
      <c r="AF92" s="67">
        <f>+Retribuciones!C132</f>
        <v>0</v>
      </c>
      <c r="AG92" s="67">
        <f>+Retribuciones!C167</f>
        <v>0</v>
      </c>
      <c r="AH92" s="67">
        <f>+Retribuciones!C202</f>
        <v>0</v>
      </c>
      <c r="AI92" s="67">
        <f>+Retribuciones!C237</f>
        <v>0</v>
      </c>
      <c r="AJ92" s="67">
        <f>+Retribuciones!C272</f>
        <v>0</v>
      </c>
      <c r="AK92" s="67">
        <f>+Retribuciones!C307</f>
        <v>0</v>
      </c>
      <c r="AL92" s="67">
        <f>+Retribuciones!C342</f>
        <v>0</v>
      </c>
      <c r="AM92" s="67">
        <f>+Retribuciones!C377</f>
        <v>43.62</v>
      </c>
      <c r="AN92" s="67">
        <f>+Retribuciones!C412</f>
        <v>0</v>
      </c>
      <c r="AO92" s="67">
        <f>+Retribuciones!C447</f>
        <v>0</v>
      </c>
      <c r="AP92" s="67">
        <f>+Retribuciones!C482</f>
        <v>51.29</v>
      </c>
      <c r="AQ92" s="67">
        <f>+Retribuciones!C517</f>
        <v>51.29</v>
      </c>
      <c r="AR92" s="67">
        <f>+Retribuciones!C552</f>
        <v>40.01</v>
      </c>
      <c r="AS92" s="67">
        <f>+Retribuciones!C587</f>
        <v>57.03</v>
      </c>
      <c r="AT92" s="67">
        <f>+Retribuciones!C622</f>
        <v>0</v>
      </c>
    </row>
    <row r="93" spans="26:46" ht="12.95" customHeight="1">
      <c r="Z93" s="34">
        <v>23</v>
      </c>
      <c r="AB93" s="69" t="s">
        <v>6</v>
      </c>
      <c r="AC93" s="67">
        <f>+Retribuciones!C28</f>
        <v>117.25</v>
      </c>
      <c r="AD93" s="67">
        <f>+Retribuciones!C63</f>
        <v>0</v>
      </c>
      <c r="AE93" s="67">
        <f>+Retribuciones!C98</f>
        <v>0</v>
      </c>
      <c r="AF93" s="67">
        <f>+Retribuciones!C133</f>
        <v>0</v>
      </c>
      <c r="AG93" s="67">
        <f>+Retribuciones!C168</f>
        <v>73.92</v>
      </c>
      <c r="AH93" s="67">
        <f>+Retribuciones!C203</f>
        <v>0</v>
      </c>
      <c r="AI93" s="67">
        <f>+Retribuciones!C238</f>
        <v>0</v>
      </c>
      <c r="AJ93" s="67">
        <f>+Retribuciones!C273</f>
        <v>0</v>
      </c>
      <c r="AK93" s="67">
        <f>+Retribuciones!C308</f>
        <v>0</v>
      </c>
      <c r="AL93" s="67">
        <f>+Retribuciones!C343</f>
        <v>0</v>
      </c>
      <c r="AM93" s="67">
        <f>+Retribuciones!C378</f>
        <v>0</v>
      </c>
      <c r="AN93" s="67">
        <f>+Retribuciones!C413</f>
        <v>0</v>
      </c>
      <c r="AO93" s="67">
        <f>+Retribuciones!C448</f>
        <v>0</v>
      </c>
      <c r="AP93" s="67">
        <f>+Retribuciones!C483</f>
        <v>0</v>
      </c>
      <c r="AQ93" s="67">
        <f>+Retribuciones!C518</f>
        <v>0</v>
      </c>
      <c r="AR93" s="67">
        <f>+Retribuciones!C553</f>
        <v>0</v>
      </c>
      <c r="AS93" s="67">
        <f>+Retribuciones!C588</f>
        <v>0</v>
      </c>
      <c r="AT93" s="67">
        <f>+Retribuciones!C623</f>
        <v>0</v>
      </c>
    </row>
    <row r="94" spans="26:46" ht="12.95" customHeight="1">
      <c r="Z94" s="34">
        <v>24</v>
      </c>
      <c r="AA94" s="70" t="s">
        <v>52</v>
      </c>
      <c r="AB94" s="69" t="s">
        <v>7</v>
      </c>
      <c r="AC94" s="67">
        <f>+Retribuciones!C29</f>
        <v>390.61</v>
      </c>
      <c r="AD94" s="67">
        <f>+Retribuciones!C64</f>
        <v>0</v>
      </c>
      <c r="AE94" s="67">
        <f>+Retribuciones!C99</f>
        <v>0</v>
      </c>
      <c r="AF94" s="67">
        <f>+Retribuciones!C134</f>
        <v>0</v>
      </c>
      <c r="AG94" s="67">
        <f>+Retribuciones!C169</f>
        <v>88.7</v>
      </c>
      <c r="AH94" s="67">
        <f>+Retribuciones!C204</f>
        <v>0</v>
      </c>
      <c r="AI94" s="67">
        <f>+Retribuciones!C239</f>
        <v>0</v>
      </c>
      <c r="AJ94" s="67">
        <f>+Retribuciones!C274</f>
        <v>0</v>
      </c>
      <c r="AK94" s="67">
        <f>+Retribuciones!C309</f>
        <v>0</v>
      </c>
      <c r="AL94" s="67">
        <f>+Retribuciones!C344</f>
        <v>0</v>
      </c>
      <c r="AM94" s="67">
        <f>+Retribuciones!C379</f>
        <v>0</v>
      </c>
      <c r="AN94" s="67">
        <f>+Retribuciones!C414</f>
        <v>0</v>
      </c>
      <c r="AO94" s="67">
        <f>+Retribuciones!C449</f>
        <v>0</v>
      </c>
      <c r="AP94" s="67">
        <f>+Retribuciones!C484</f>
        <v>0</v>
      </c>
      <c r="AQ94" s="67">
        <f>+Retribuciones!C519</f>
        <v>0</v>
      </c>
      <c r="AR94" s="67">
        <f>+Retribuciones!C554</f>
        <v>0</v>
      </c>
      <c r="AS94" s="67">
        <f>+Retribuciones!C589</f>
        <v>0</v>
      </c>
      <c r="AT94" s="67">
        <f>+Retribuciones!C624</f>
        <v>0</v>
      </c>
    </row>
    <row r="95" spans="26:46" ht="12.95" customHeight="1">
      <c r="Z95" s="34">
        <v>25</v>
      </c>
      <c r="AA95" s="70" t="s">
        <v>53</v>
      </c>
      <c r="AB95" s="69" t="s">
        <v>8</v>
      </c>
      <c r="AC95" s="67">
        <f>+Retribuciones!C30</f>
        <v>27.41</v>
      </c>
      <c r="AD95" s="67">
        <f>+Retribuciones!C65</f>
        <v>0</v>
      </c>
      <c r="AE95" s="67">
        <f>+Retribuciones!C100</f>
        <v>0</v>
      </c>
      <c r="AF95" s="67">
        <f>+Retribuciones!C135</f>
        <v>0</v>
      </c>
      <c r="AG95" s="67">
        <f>+Retribuciones!C170</f>
        <v>0</v>
      </c>
      <c r="AH95" s="67">
        <f>+Retribuciones!C205</f>
        <v>0</v>
      </c>
      <c r="AI95" s="67">
        <f>+Retribuciones!C240</f>
        <v>0</v>
      </c>
      <c r="AJ95" s="67">
        <f>+Retribuciones!C275</f>
        <v>0</v>
      </c>
      <c r="AK95" s="67">
        <f>+Retribuciones!C310</f>
        <v>0</v>
      </c>
      <c r="AL95" s="67">
        <f>+Retribuciones!C345</f>
        <v>0</v>
      </c>
      <c r="AM95" s="67">
        <f>+Retribuciones!C380</f>
        <v>0</v>
      </c>
      <c r="AN95" s="67">
        <f>+Retribuciones!C415</f>
        <v>0</v>
      </c>
      <c r="AO95" s="67">
        <f>+Retribuciones!C450</f>
        <v>0</v>
      </c>
      <c r="AP95" s="67">
        <f>+Retribuciones!C485</f>
        <v>0</v>
      </c>
      <c r="AQ95" s="67">
        <f>+Retribuciones!C520</f>
        <v>0</v>
      </c>
      <c r="AR95" s="67">
        <f>+Retribuciones!C555</f>
        <v>40.69</v>
      </c>
      <c r="AS95" s="67">
        <f>+Retribuciones!C590</f>
        <v>0</v>
      </c>
      <c r="AT95" s="67">
        <f>+Retribuciones!C625</f>
        <v>0</v>
      </c>
    </row>
    <row r="96" spans="26:46" ht="12.95" customHeight="1">
      <c r="Z96" s="34">
        <v>26</v>
      </c>
      <c r="AA96" s="70" t="s">
        <v>54</v>
      </c>
      <c r="AB96" s="71" t="s">
        <v>77</v>
      </c>
      <c r="AC96" s="67">
        <f>+Retribuciones!C31</f>
        <v>73.19</v>
      </c>
      <c r="AD96" s="67">
        <f>+Retribuciones!C66</f>
        <v>0</v>
      </c>
      <c r="AE96" s="67">
        <f>+Retribuciones!C101</f>
        <v>0</v>
      </c>
      <c r="AF96" s="67">
        <f>+Retribuciones!C136</f>
        <v>0</v>
      </c>
      <c r="AG96" s="67">
        <f>+Retribuciones!C171</f>
        <v>109.6</v>
      </c>
      <c r="AH96" s="67">
        <f>+Retribuciones!C206</f>
        <v>0</v>
      </c>
      <c r="AI96" s="67">
        <f>+Retribuciones!C241</f>
        <v>0</v>
      </c>
      <c r="AJ96" s="67">
        <f>+Retribuciones!C276</f>
        <v>0</v>
      </c>
      <c r="AK96" s="67">
        <f>+Retribuciones!C311</f>
        <v>0</v>
      </c>
      <c r="AL96" s="67">
        <f>+Retribuciones!C346</f>
        <v>0</v>
      </c>
      <c r="AM96" s="67">
        <f>+Retribuciones!C381</f>
        <v>0</v>
      </c>
      <c r="AN96" s="67">
        <f>+Retribuciones!C416</f>
        <v>0</v>
      </c>
      <c r="AO96" s="67">
        <f>+Retribuciones!C451</f>
        <v>0</v>
      </c>
      <c r="AP96" s="67">
        <f>+Retribuciones!C486</f>
        <v>0</v>
      </c>
      <c r="AQ96" s="67">
        <f>+Retribuciones!C521</f>
        <v>0</v>
      </c>
      <c r="AR96" s="67">
        <f>+Retribuciones!C556</f>
        <v>0</v>
      </c>
      <c r="AS96" s="67">
        <f>+Retribuciones!C591</f>
        <v>0</v>
      </c>
      <c r="AT96" s="67">
        <f>+Retribuciones!C626</f>
        <v>0</v>
      </c>
    </row>
    <row r="97" spans="25:46" ht="12.95" customHeight="1">
      <c r="Z97" s="34">
        <v>27</v>
      </c>
      <c r="AA97" s="70" t="s">
        <v>55</v>
      </c>
      <c r="AB97" s="72" t="s">
        <v>81</v>
      </c>
      <c r="AC97" s="67">
        <f>+Retribuciones!C32</f>
        <v>0</v>
      </c>
      <c r="AD97" s="67">
        <f>+Retribuciones!C67</f>
        <v>0</v>
      </c>
      <c r="AE97" s="67">
        <f>+Retribuciones!C102</f>
        <v>0</v>
      </c>
      <c r="AF97" s="67">
        <f>+Retribuciones!C137</f>
        <v>0</v>
      </c>
      <c r="AG97" s="67">
        <f>+Retribuciones!C172</f>
        <v>89.26</v>
      </c>
      <c r="AH97" s="67">
        <f>+Retribuciones!C207</f>
        <v>0</v>
      </c>
      <c r="AI97" s="67">
        <f>+Retribuciones!C242</f>
        <v>0</v>
      </c>
      <c r="AJ97" s="67">
        <f>+Retribuciones!C277</f>
        <v>20.18</v>
      </c>
      <c r="AK97" s="67">
        <f>+Retribuciones!C312</f>
        <v>0</v>
      </c>
      <c r="AL97" s="67">
        <f>+Retribuciones!C347</f>
        <v>30.35</v>
      </c>
      <c r="AM97" s="67">
        <f>+Retribuciones!C382</f>
        <v>0</v>
      </c>
      <c r="AN97" s="67">
        <f>+Retribuciones!C417</f>
        <v>0</v>
      </c>
      <c r="AO97" s="67">
        <f>+Retribuciones!C452</f>
        <v>0</v>
      </c>
      <c r="AP97" s="67">
        <f>+Retribuciones!C487</f>
        <v>0</v>
      </c>
      <c r="AQ97" s="67">
        <f>+Retribuciones!C522</f>
        <v>0</v>
      </c>
      <c r="AR97" s="67">
        <f>+Retribuciones!C557</f>
        <v>0</v>
      </c>
      <c r="AS97" s="67">
        <f>+Retribuciones!C592</f>
        <v>7.13</v>
      </c>
      <c r="AT97" s="67">
        <f>+Retribuciones!C627</f>
        <v>0</v>
      </c>
    </row>
    <row r="98" spans="25:46" ht="12.95" customHeight="1">
      <c r="Z98" s="34">
        <v>28</v>
      </c>
      <c r="AA98" s="70" t="s">
        <v>56</v>
      </c>
      <c r="AB98" s="72" t="s">
        <v>78</v>
      </c>
      <c r="AC98" s="67">
        <f>+Retribuciones!C33</f>
        <v>0</v>
      </c>
      <c r="AD98" s="67">
        <f>+Retribuciones!C68</f>
        <v>0</v>
      </c>
      <c r="AE98" s="67">
        <f>+Retribuciones!C103</f>
        <v>0</v>
      </c>
      <c r="AF98" s="67">
        <f>+Retribuciones!C138</f>
        <v>0</v>
      </c>
      <c r="AG98" s="67">
        <f>+Retribuciones!C173</f>
        <v>0</v>
      </c>
      <c r="AH98" s="67">
        <f>+Retribuciones!C208</f>
        <v>0</v>
      </c>
      <c r="AI98" s="67">
        <f>+Retribuciones!C243</f>
        <v>0</v>
      </c>
      <c r="AJ98" s="67">
        <f>+Retribuciones!C278</f>
        <v>0</v>
      </c>
      <c r="AK98" s="67">
        <f>+Retribuciones!C313</f>
        <v>0</v>
      </c>
      <c r="AL98" s="67">
        <f>+Retribuciones!C348</f>
        <v>0</v>
      </c>
      <c r="AM98" s="67">
        <f>+Retribuciones!C383</f>
        <v>0</v>
      </c>
      <c r="AN98" s="67">
        <f>+Retribuciones!C418</f>
        <v>0</v>
      </c>
      <c r="AO98" s="67">
        <f>+Retribuciones!C453</f>
        <v>0</v>
      </c>
      <c r="AP98" s="67">
        <f>+Retribuciones!C488</f>
        <v>418.96</v>
      </c>
      <c r="AQ98" s="67">
        <f>+Retribuciones!C523</f>
        <v>0</v>
      </c>
      <c r="AR98" s="67">
        <f>+Retribuciones!C558</f>
        <v>0</v>
      </c>
      <c r="AS98" s="67">
        <f>+Retribuciones!C593</f>
        <v>0</v>
      </c>
      <c r="AT98" s="67">
        <f>+Retribuciones!C628</f>
        <v>0</v>
      </c>
    </row>
    <row r="99" spans="25:46" ht="12.95" customHeight="1">
      <c r="Z99" s="34">
        <v>29</v>
      </c>
      <c r="AA99" s="70" t="s">
        <v>57</v>
      </c>
      <c r="AB99" s="72" t="s">
        <v>82</v>
      </c>
      <c r="AC99" s="67">
        <f>+Retribuciones!C34</f>
        <v>0</v>
      </c>
      <c r="AD99" s="67">
        <f>+Retribuciones!C69</f>
        <v>0</v>
      </c>
      <c r="AE99" s="67">
        <f>+Retribuciones!C104</f>
        <v>0</v>
      </c>
      <c r="AF99" s="67">
        <f>+Retribuciones!C139</f>
        <v>0</v>
      </c>
      <c r="AG99" s="67">
        <f>+Retribuciones!C174</f>
        <v>0</v>
      </c>
      <c r="AH99" s="67">
        <f>+Retribuciones!C209</f>
        <v>0</v>
      </c>
      <c r="AI99" s="67">
        <f>+Retribuciones!C244</f>
        <v>0</v>
      </c>
      <c r="AJ99" s="67">
        <f>+Retribuciones!C279</f>
        <v>0</v>
      </c>
      <c r="AK99" s="67">
        <f>+Retribuciones!C314</f>
        <v>0</v>
      </c>
      <c r="AL99" s="67">
        <f>+Retribuciones!C349</f>
        <v>0</v>
      </c>
      <c r="AM99" s="67">
        <f>+Retribuciones!C384</f>
        <v>0</v>
      </c>
      <c r="AN99" s="67">
        <f>+Retribuciones!C419</f>
        <v>0</v>
      </c>
      <c r="AO99" s="67">
        <f>+Retribuciones!C454</f>
        <v>0</v>
      </c>
      <c r="AP99" s="67">
        <f>+Retribuciones!C489</f>
        <v>0</v>
      </c>
      <c r="AQ99" s="67">
        <f>+Retribuciones!C524</f>
        <v>0</v>
      </c>
      <c r="AR99" s="67">
        <f>+Retribuciones!C559</f>
        <v>0</v>
      </c>
      <c r="AS99" s="67">
        <f>+Retribuciones!C594</f>
        <v>0</v>
      </c>
      <c r="AT99" s="67">
        <f>+Retribuciones!C629</f>
        <v>0</v>
      </c>
    </row>
    <row r="100" spans="25:46" ht="12.95" customHeight="1">
      <c r="Z100" s="34">
        <v>30</v>
      </c>
      <c r="AA100" s="70" t="s">
        <v>58</v>
      </c>
      <c r="AB100" s="73" t="s">
        <v>79</v>
      </c>
      <c r="AC100" s="67">
        <f>+Retribuciones!C35</f>
        <v>0</v>
      </c>
      <c r="AD100" s="67">
        <f>+Retribuciones!C70</f>
        <v>0</v>
      </c>
      <c r="AE100" s="67">
        <f>+Retribuciones!C105</f>
        <v>0</v>
      </c>
      <c r="AF100" s="67">
        <f>+Retribuciones!C140</f>
        <v>0</v>
      </c>
      <c r="AG100" s="67">
        <f>+Retribuciones!C175</f>
        <v>0</v>
      </c>
      <c r="AH100" s="67">
        <f>+Retribuciones!C210</f>
        <v>0</v>
      </c>
      <c r="AI100" s="67">
        <f>+Retribuciones!C245</f>
        <v>0</v>
      </c>
      <c r="AJ100" s="67">
        <f>+Retribuciones!C280</f>
        <v>0</v>
      </c>
      <c r="AK100" s="67">
        <f>+Retribuciones!C315</f>
        <v>0</v>
      </c>
      <c r="AL100" s="67">
        <f>+Retribuciones!C350</f>
        <v>0</v>
      </c>
      <c r="AM100" s="67">
        <f>+Retribuciones!C385</f>
        <v>0</v>
      </c>
      <c r="AN100" s="67">
        <f>+Retribuciones!C420</f>
        <v>0</v>
      </c>
      <c r="AO100" s="67">
        <f>+Retribuciones!C455</f>
        <v>0</v>
      </c>
      <c r="AP100" s="67">
        <f>+Retribuciones!C490</f>
        <v>0</v>
      </c>
      <c r="AQ100" s="67">
        <f>+Retribuciones!C525</f>
        <v>0</v>
      </c>
      <c r="AR100" s="67">
        <f>+Retribuciones!C560</f>
        <v>0</v>
      </c>
      <c r="AS100" s="67">
        <f>+Retribuciones!C595</f>
        <v>0</v>
      </c>
      <c r="AT100" s="67">
        <f>+Retribuciones!C630</f>
        <v>0</v>
      </c>
    </row>
    <row r="101" spans="25:46" ht="12.95" customHeight="1">
      <c r="Z101" s="34">
        <v>31</v>
      </c>
      <c r="AA101" s="70" t="s">
        <v>59</v>
      </c>
      <c r="AB101" s="74" t="s">
        <v>9</v>
      </c>
      <c r="AC101" s="67">
        <f>+Retribuciones!C36</f>
        <v>-37.67</v>
      </c>
      <c r="AD101" s="67">
        <f>+Retribuciones!C71</f>
        <v>-37.67</v>
      </c>
      <c r="AE101" s="67">
        <f>+Retribuciones!C106</f>
        <v>-37.67</v>
      </c>
      <c r="AF101" s="67">
        <f>+Retribuciones!C141</f>
        <v>-37.67</v>
      </c>
      <c r="AG101" s="67">
        <f>+Retribuciones!C176</f>
        <v>-37.67</v>
      </c>
      <c r="AH101" s="67">
        <f>+Retribuciones!C211</f>
        <v>-37.67</v>
      </c>
      <c r="AI101" s="67">
        <f>+Retribuciones!C246</f>
        <v>-37.67</v>
      </c>
      <c r="AJ101" s="67">
        <f>+Retribuciones!C281</f>
        <v>-37.67</v>
      </c>
      <c r="AK101" s="67">
        <f>+Retribuciones!C316</f>
        <v>-37.67</v>
      </c>
      <c r="AL101" s="67">
        <f>+Retribuciones!C351</f>
        <v>-37.67</v>
      </c>
      <c r="AM101" s="67">
        <f>+Retribuciones!C386</f>
        <v>-37.67</v>
      </c>
      <c r="AN101" s="67">
        <f>+Retribuciones!C421</f>
        <v>-37.67</v>
      </c>
      <c r="AO101" s="67">
        <f>+Retribuciones!C456</f>
        <v>-37.67</v>
      </c>
      <c r="AP101" s="67">
        <f>+Retribuciones!C491</f>
        <v>-37.67</v>
      </c>
      <c r="AQ101" s="67">
        <f>+Retribuciones!C526</f>
        <v>-37.67</v>
      </c>
      <c r="AR101" s="67">
        <f>+Retribuciones!C561</f>
        <v>-37.67</v>
      </c>
      <c r="AS101" s="67">
        <f>+Retribuciones!C596</f>
        <v>-37.67</v>
      </c>
      <c r="AT101" s="67">
        <f>+Retribuciones!C631</f>
        <v>-37.67</v>
      </c>
    </row>
    <row r="102" spans="25:46" ht="12.95" customHeight="1">
      <c r="Z102" s="34">
        <v>32</v>
      </c>
      <c r="AA102" s="70" t="s">
        <v>60</v>
      </c>
      <c r="AB102" s="74" t="s">
        <v>16</v>
      </c>
      <c r="AC102" s="67">
        <f>+Retribuciones!C37</f>
        <v>-86.03</v>
      </c>
      <c r="AD102" s="67">
        <f>+Retribuciones!C72</f>
        <v>-86.03</v>
      </c>
      <c r="AE102" s="67">
        <f>+Retribuciones!C107</f>
        <v>-86.03</v>
      </c>
      <c r="AF102" s="67">
        <f>+Retribuciones!C142</f>
        <v>-86.03</v>
      </c>
      <c r="AG102" s="67">
        <f>+Retribuciones!C177</f>
        <v>-86.03</v>
      </c>
      <c r="AH102" s="67">
        <f>+Retribuciones!C212</f>
        <v>-86.03</v>
      </c>
      <c r="AI102" s="67">
        <f>+Retribuciones!C247</f>
        <v>-86.03</v>
      </c>
      <c r="AJ102" s="67">
        <f>+Retribuciones!C282</f>
        <v>-86.03</v>
      </c>
      <c r="AK102" s="67">
        <f>+Retribuciones!C317</f>
        <v>-86.03</v>
      </c>
      <c r="AL102" s="67">
        <f>+Retribuciones!C352</f>
        <v>-86.03</v>
      </c>
      <c r="AM102" s="67">
        <f>+Retribuciones!C387</f>
        <v>-86.03</v>
      </c>
      <c r="AN102" s="67">
        <f>+Retribuciones!C422</f>
        <v>-86.03</v>
      </c>
      <c r="AO102" s="67">
        <f>+Retribuciones!C457</f>
        <v>-86.03</v>
      </c>
      <c r="AP102" s="67">
        <f>+Retribuciones!C492</f>
        <v>-86.03</v>
      </c>
      <c r="AQ102" s="67">
        <f>+Retribuciones!C527</f>
        <v>-86.03</v>
      </c>
      <c r="AR102" s="67">
        <f>+Retribuciones!C562</f>
        <v>-86.03</v>
      </c>
      <c r="AS102" s="67">
        <f>+Retribuciones!C597</f>
        <v>-86.03</v>
      </c>
      <c r="AT102" s="67">
        <f>+Retribuciones!C632</f>
        <v>-86.03</v>
      </c>
    </row>
    <row r="103" spans="25:46" ht="12.95" customHeight="1">
      <c r="Z103" s="34">
        <v>33</v>
      </c>
      <c r="AB103" s="75" t="s">
        <v>18</v>
      </c>
      <c r="AC103" s="67">
        <f>+Retribuciones!C38</f>
        <v>36847.316800000008</v>
      </c>
      <c r="AD103" s="67">
        <f>+Retribuciones!C73</f>
        <v>33336.7284</v>
      </c>
      <c r="AE103" s="67">
        <f>+Retribuciones!C108</f>
        <v>33636.404399999999</v>
      </c>
      <c r="AF103" s="67">
        <f>+Retribuciones!C143</f>
        <v>34402.653600000005</v>
      </c>
      <c r="AG103" s="67">
        <f>+Retribuciones!C178</f>
        <v>36662.844000000005</v>
      </c>
      <c r="AH103" s="67">
        <f>+Retribuciones!C213</f>
        <v>35159.327999999994</v>
      </c>
      <c r="AI103" s="67">
        <f>+Retribuciones!C248</f>
        <v>34199.119667999999</v>
      </c>
      <c r="AJ103" s="67">
        <f>+Retribuciones!C283</f>
        <v>33197.581200000008</v>
      </c>
      <c r="AK103" s="67">
        <f>+Retribuciones!C318</f>
        <v>34446.072</v>
      </c>
      <c r="AL103" s="67">
        <f>+Retribuciones!C353</f>
        <v>33796.119599999998</v>
      </c>
      <c r="AM103" s="67">
        <f>+Retribuciones!C388</f>
        <v>32865.789599999996</v>
      </c>
      <c r="AN103" s="67">
        <f>+Retribuciones!C423</f>
        <v>34356.169200000004</v>
      </c>
      <c r="AO103" s="67">
        <f>+Retribuciones!C458</f>
        <v>32819.550000000003</v>
      </c>
      <c r="AP103" s="67">
        <f>+Retribuciones!C493</f>
        <v>34938.212</v>
      </c>
      <c r="AQ103" s="67">
        <f>+Retribuciones!C528</f>
        <v>33740.951999999997</v>
      </c>
      <c r="AR103" s="67">
        <f>+Retribuciones!C563</f>
        <v>39266.109599999989</v>
      </c>
      <c r="AS103" s="67">
        <f>+Retribuciones!C598</f>
        <v>35765.462800000001</v>
      </c>
      <c r="AT103" s="67">
        <f>+Retribuciones!C633</f>
        <v>33937.68</v>
      </c>
    </row>
    <row r="104" spans="25:46" ht="12.95" customHeight="1">
      <c r="Z104" s="34">
        <v>34</v>
      </c>
      <c r="AA104" s="34" t="str">
        <f>+C4</f>
        <v>597-Maestros</v>
      </c>
      <c r="AC104" s="67">
        <f>+Retribuciones!C39</f>
        <v>32711.516800000009</v>
      </c>
    </row>
    <row r="105" spans="25:46" ht="12.95" customHeight="1">
      <c r="Z105" s="34">
        <v>35</v>
      </c>
    </row>
    <row r="106" spans="25:46" ht="12.95" customHeight="1">
      <c r="Z106" s="34">
        <v>36</v>
      </c>
    </row>
    <row r="107" spans="25:46" ht="12.95" customHeight="1">
      <c r="Z107" s="34">
        <v>37</v>
      </c>
    </row>
    <row r="108" spans="25:46" ht="12.95" customHeight="1">
      <c r="Z108" s="34">
        <v>38</v>
      </c>
    </row>
    <row r="109" spans="25:46" ht="12.95" customHeight="1">
      <c r="Z109" s="34">
        <v>39</v>
      </c>
    </row>
    <row r="110" spans="25:46" ht="12.95" customHeight="1">
      <c r="Y110" s="76"/>
      <c r="Z110" s="34">
        <v>40</v>
      </c>
    </row>
    <row r="111" spans="25:46" ht="12.95" customHeight="1">
      <c r="Z111" s="34">
        <v>41</v>
      </c>
    </row>
    <row r="112" spans="25:46" ht="12.95" customHeight="1">
      <c r="Z112" s="34">
        <v>42</v>
      </c>
    </row>
    <row r="113" spans="26:26" ht="12.95" customHeight="1">
      <c r="Z113" s="34">
        <v>43</v>
      </c>
    </row>
    <row r="114" spans="26:26" ht="12.95" customHeight="1">
      <c r="Z114" s="34">
        <v>44</v>
      </c>
    </row>
    <row r="115" spans="26:26" ht="12.95" customHeight="1">
      <c r="Z115" s="34">
        <v>45</v>
      </c>
    </row>
    <row r="116" spans="26:26" ht="12.95" customHeight="1">
      <c r="Z116" s="34">
        <v>46</v>
      </c>
    </row>
    <row r="117" spans="26:26" ht="12.95" customHeight="1">
      <c r="Z117" s="34">
        <v>47</v>
      </c>
    </row>
    <row r="118" spans="26:26" ht="12.95" customHeight="1">
      <c r="Z118" s="34">
        <v>48</v>
      </c>
    </row>
    <row r="119" spans="26:26" ht="12.95" customHeight="1">
      <c r="Z119" s="34">
        <v>49</v>
      </c>
    </row>
    <row r="120" spans="26:26" ht="12.95" customHeight="1">
      <c r="Z120" s="34">
        <v>50</v>
      </c>
    </row>
  </sheetData>
  <sheetProtection password="DF4C" sheet="1" objects="1" scenarios="1" selectLockedCells="1"/>
  <mergeCells count="23">
    <mergeCell ref="D69:CC69"/>
    <mergeCell ref="D67:CC67"/>
    <mergeCell ref="CC39:CC46"/>
    <mergeCell ref="CC14:CC27"/>
    <mergeCell ref="CC4:CC11"/>
    <mergeCell ref="B65:CC65"/>
    <mergeCell ref="D68:CC68"/>
    <mergeCell ref="B59:C64"/>
    <mergeCell ref="C5:D5"/>
    <mergeCell ref="B57:D57"/>
    <mergeCell ref="B1:E1"/>
    <mergeCell ref="B2:E2"/>
    <mergeCell ref="B12:U12"/>
    <mergeCell ref="B39:U39"/>
    <mergeCell ref="C4:F4"/>
    <mergeCell ref="C6:D6"/>
    <mergeCell ref="C7:D7"/>
    <mergeCell ref="J4:P10"/>
    <mergeCell ref="C8:D8"/>
    <mergeCell ref="C9:D9"/>
    <mergeCell ref="C11:D11"/>
    <mergeCell ref="C10:D10"/>
    <mergeCell ref="G4:H10"/>
  </mergeCells>
  <dataValidations xWindow="874" yWindow="233" count="5">
    <dataValidation type="list" allowBlank="1" showErrorMessage="1" promptTitle="DESTINO EN ISLA NO CAPITALINA" prompt="-Si se tienen destino en una isla capitalina, seleccionar = N_x000a_-Si se tiene destino en una isla no capitalina, seleccionar = S" sqref="C8:C10">
      <formula1>$Y$70:$Y$71</formula1>
    </dataValidation>
    <dataValidation type="list" allowBlank="1" showErrorMessage="1" promptTitle="PRIMERO Y SEGUNDO DE LA ESO" prompt="Introducir lo que corresponda" sqref="C7">
      <formula1>$Y$70:$Y$71</formula1>
    </dataValidation>
    <dataValidation type="list" allowBlank="1" showErrorMessage="1" promptTitle="AÑOS DE SERVICIO" prompt="Seleccionar el número de años de servicio a efectos de trienio" sqref="C6">
      <formula1>$Z$70:$Z$120</formula1>
    </dataValidation>
    <dataValidation type="list" allowBlank="1" showInputMessage="1" showErrorMessage="1" sqref="C5:D5">
      <formula1>$AA$71:$AA$72</formula1>
    </dataValidation>
    <dataValidation type="list" allowBlank="1" showInputMessage="1" showErrorMessage="1" sqref="C4:F4">
      <formula1>$AA$96:$AA$102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O633"/>
  <sheetViews>
    <sheetView topLeftCell="A1048576" workbookViewId="0">
      <selection activeCell="A537" sqref="A1:XFD1048576"/>
    </sheetView>
  </sheetViews>
  <sheetFormatPr baseColWidth="10" defaultRowHeight="15" zeroHeight="1"/>
  <cols>
    <col min="1" max="1" width="3.28515625" style="82" customWidth="1"/>
    <col min="2" max="2" width="49.5703125" style="82" customWidth="1"/>
    <col min="3" max="3" width="11.42578125" style="82" customWidth="1"/>
    <col min="4" max="4" width="3.5703125" style="82" customWidth="1"/>
    <col min="5" max="5" width="43.28515625" style="82" customWidth="1"/>
    <col min="6" max="16384" width="11.42578125" style="82"/>
  </cols>
  <sheetData>
    <row r="1" spans="2:14" hidden="1">
      <c r="B1" s="8" t="s">
        <v>20</v>
      </c>
      <c r="C1" s="82" t="str">
        <f>+'Nómina mensual'!C4:E4</f>
        <v>597-Maestros</v>
      </c>
    </row>
    <row r="2" spans="2:14" hidden="1">
      <c r="B2" s="8" t="s">
        <v>21</v>
      </c>
      <c r="C2" s="82" t="str">
        <f>+'Nómina mensual'!C5:E5</f>
        <v>Interino</v>
      </c>
    </row>
    <row r="3" spans="2:14" hidden="1">
      <c r="B3" s="8" t="s">
        <v>31</v>
      </c>
      <c r="C3" s="82">
        <f>+'Nómina mensual'!C6:E6</f>
        <v>18</v>
      </c>
    </row>
    <row r="4" spans="2:14" hidden="1">
      <c r="B4" s="8" t="s">
        <v>22</v>
      </c>
      <c r="C4" s="82" t="str">
        <f>+'Nómina mensual'!C7:E7</f>
        <v>N</v>
      </c>
    </row>
    <row r="5" spans="2:14" hidden="1">
      <c r="B5" s="9" t="s">
        <v>23</v>
      </c>
      <c r="C5" s="82" t="str">
        <f>+'Nómina mensual'!C8:E8</f>
        <v>N</v>
      </c>
    </row>
    <row r="6" spans="2:14" hidden="1">
      <c r="B6" s="10" t="s">
        <v>24</v>
      </c>
      <c r="C6" s="82" t="str">
        <f>+'Nómina mensual'!C9:E9</f>
        <v>N</v>
      </c>
    </row>
    <row r="7" spans="2:14" hidden="1">
      <c r="B7" s="24" t="s">
        <v>75</v>
      </c>
      <c r="C7" s="82" t="str">
        <f>+'Nómina mensual'!C10:E10</f>
        <v>N</v>
      </c>
    </row>
    <row r="8" spans="2:14" hidden="1"/>
    <row r="9" spans="2:14" hidden="1"/>
    <row r="10" spans="2:14" s="2" customFormat="1" ht="12.95" hidden="1" customHeight="1">
      <c r="B10" s="3"/>
      <c r="C10" s="2" t="str">
        <f>+E11</f>
        <v>Canarias</v>
      </c>
    </row>
    <row r="11" spans="2:14" s="2" customFormat="1" ht="35.25" hidden="1" customHeight="1">
      <c r="C11" s="7" t="str">
        <f>+C1</f>
        <v>597-Maestros</v>
      </c>
      <c r="E11" s="15" t="s">
        <v>39</v>
      </c>
      <c r="F11" s="6" t="s">
        <v>60</v>
      </c>
      <c r="G11" s="6" t="s">
        <v>55</v>
      </c>
      <c r="H11" s="6" t="s">
        <v>59</v>
      </c>
      <c r="I11" s="6" t="s">
        <v>54</v>
      </c>
      <c r="J11" s="6" t="s">
        <v>56</v>
      </c>
      <c r="K11" s="6" t="s">
        <v>57</v>
      </c>
      <c r="L11" s="6" t="s">
        <v>58</v>
      </c>
      <c r="M11" s="6" t="s">
        <v>53</v>
      </c>
      <c r="N11" s="6" t="s">
        <v>52</v>
      </c>
    </row>
    <row r="12" spans="2:14" s="2" customFormat="1" ht="12.95" hidden="1" customHeight="1">
      <c r="B12" s="25" t="s">
        <v>1</v>
      </c>
      <c r="C12" s="11" t="str">
        <f t="shared" ref="C12:C27" si="0">IF($C$11=$F$11,F12,IF($C$11=G$11,G12,IF($C$11=H$11,H12,IF($C$11=I$11,I12,IF($C$11=J$11,J12,IF($C$11=K$11,K12,IF($C$11=L$11,L12,IF($C$11=M$11,M12,N12))))))))</f>
        <v>A2</v>
      </c>
      <c r="E12" s="25" t="s">
        <v>1</v>
      </c>
      <c r="F12" s="4" t="s">
        <v>61</v>
      </c>
      <c r="G12" s="4" t="s">
        <v>61</v>
      </c>
      <c r="H12" s="4" t="s">
        <v>61</v>
      </c>
      <c r="I12" s="4" t="s">
        <v>17</v>
      </c>
      <c r="J12" s="4" t="s">
        <v>17</v>
      </c>
      <c r="K12" s="4" t="s">
        <v>17</v>
      </c>
      <c r="L12" s="4" t="s">
        <v>17</v>
      </c>
      <c r="M12" s="4" t="s">
        <v>17</v>
      </c>
      <c r="N12" s="4" t="s">
        <v>17</v>
      </c>
    </row>
    <row r="13" spans="2:14" s="2" customFormat="1" ht="12.95" hidden="1" customHeight="1">
      <c r="B13" s="25">
        <f>+E13</f>
        <v>24</v>
      </c>
      <c r="C13" s="16">
        <f t="shared" si="0"/>
        <v>21</v>
      </c>
      <c r="E13" s="25">
        <f>+H13</f>
        <v>24</v>
      </c>
      <c r="F13" s="4">
        <v>21</v>
      </c>
      <c r="G13" s="4">
        <v>24</v>
      </c>
      <c r="H13" s="4">
        <v>24</v>
      </c>
      <c r="I13" s="4">
        <v>24</v>
      </c>
      <c r="J13" s="4">
        <v>24</v>
      </c>
      <c r="K13" s="4">
        <v>24</v>
      </c>
      <c r="L13" s="4">
        <v>24</v>
      </c>
      <c r="M13" s="4">
        <v>26</v>
      </c>
      <c r="N13" s="4">
        <v>26</v>
      </c>
    </row>
    <row r="14" spans="2:14" s="2" customFormat="1" ht="12.95" hidden="1" customHeight="1">
      <c r="B14" s="26" t="s">
        <v>2</v>
      </c>
      <c r="C14" s="17">
        <f t="shared" si="0"/>
        <v>958.98</v>
      </c>
      <c r="E14" s="13" t="s">
        <v>2</v>
      </c>
      <c r="F14" s="14">
        <v>958.98</v>
      </c>
      <c r="G14" s="14">
        <v>958.98</v>
      </c>
      <c r="H14" s="14">
        <v>958.98</v>
      </c>
      <c r="I14" s="14">
        <v>1109.0999999999999</v>
      </c>
      <c r="J14" s="14">
        <v>1109.0999999999999</v>
      </c>
      <c r="K14" s="14">
        <v>1109.0999999999999</v>
      </c>
      <c r="L14" s="14">
        <v>1109.0999999999999</v>
      </c>
      <c r="M14" s="14">
        <v>1109.0999999999999</v>
      </c>
      <c r="N14" s="14">
        <v>1109.0999999999999</v>
      </c>
    </row>
    <row r="15" spans="2:14" s="2" customFormat="1" ht="12.95" hidden="1" customHeight="1">
      <c r="B15" s="26" t="s">
        <v>64</v>
      </c>
      <c r="C15" s="18">
        <f t="shared" si="0"/>
        <v>699.38</v>
      </c>
      <c r="E15" s="13" t="s">
        <v>64</v>
      </c>
      <c r="F15" s="19">
        <v>699.38</v>
      </c>
      <c r="G15" s="19">
        <v>699.38</v>
      </c>
      <c r="H15" s="19">
        <v>699.38</v>
      </c>
      <c r="I15" s="19">
        <v>684.36</v>
      </c>
      <c r="J15" s="19">
        <v>684.36</v>
      </c>
      <c r="K15" s="19">
        <v>684.36</v>
      </c>
      <c r="L15" s="19">
        <v>684.36</v>
      </c>
      <c r="M15" s="19">
        <v>684.36</v>
      </c>
      <c r="N15" s="19">
        <v>684.36</v>
      </c>
    </row>
    <row r="16" spans="2:14" s="2" customFormat="1" ht="12.95" hidden="1" customHeight="1">
      <c r="B16" s="26" t="s">
        <v>3</v>
      </c>
      <c r="C16" s="18">
        <f t="shared" si="0"/>
        <v>34.770000000000003</v>
      </c>
      <c r="E16" s="13" t="s">
        <v>3</v>
      </c>
      <c r="F16" s="14">
        <v>34.770000000000003</v>
      </c>
      <c r="G16" s="14">
        <v>34.770000000000003</v>
      </c>
      <c r="H16" s="14">
        <v>34.770000000000003</v>
      </c>
      <c r="I16" s="14">
        <v>42.65</v>
      </c>
      <c r="J16" s="14">
        <v>42.65</v>
      </c>
      <c r="K16" s="14">
        <v>42.65</v>
      </c>
      <c r="L16" s="14">
        <v>42.65</v>
      </c>
      <c r="M16" s="14">
        <v>42.65</v>
      </c>
      <c r="N16" s="14">
        <v>42.65</v>
      </c>
    </row>
    <row r="17" spans="2:14" s="2" customFormat="1" ht="12.95" hidden="1" customHeight="1">
      <c r="B17" s="26" t="s">
        <v>65</v>
      </c>
      <c r="C17" s="18">
        <f t="shared" si="0"/>
        <v>25.35</v>
      </c>
      <c r="E17" s="13" t="s">
        <v>65</v>
      </c>
      <c r="F17" s="19">
        <v>25.35</v>
      </c>
      <c r="G17" s="19">
        <v>25.35</v>
      </c>
      <c r="H17" s="19">
        <v>25.35</v>
      </c>
      <c r="I17" s="19">
        <v>26.31</v>
      </c>
      <c r="J17" s="19">
        <v>26.31</v>
      </c>
      <c r="K17" s="19">
        <v>26.31</v>
      </c>
      <c r="L17" s="19">
        <v>26.31</v>
      </c>
      <c r="M17" s="19">
        <v>26.31</v>
      </c>
      <c r="N17" s="19">
        <v>26.31</v>
      </c>
    </row>
    <row r="18" spans="2:14" s="2" customFormat="1" ht="12.95" hidden="1" customHeight="1">
      <c r="B18" s="26" t="s">
        <v>4</v>
      </c>
      <c r="C18" s="18">
        <f t="shared" si="0"/>
        <v>479.88</v>
      </c>
      <c r="E18" s="13" t="s">
        <v>4</v>
      </c>
      <c r="F18" s="14">
        <v>479.88</v>
      </c>
      <c r="G18" s="14">
        <v>590.97</v>
      </c>
      <c r="H18" s="14">
        <v>590.97</v>
      </c>
      <c r="I18" s="14">
        <v>590.97</v>
      </c>
      <c r="J18" s="14">
        <v>590.97</v>
      </c>
      <c r="K18" s="14">
        <v>590.97</v>
      </c>
      <c r="L18" s="14">
        <v>590.97</v>
      </c>
      <c r="M18" s="14">
        <v>707.83</v>
      </c>
      <c r="N18" s="14">
        <v>707.83</v>
      </c>
    </row>
    <row r="19" spans="2:14" s="2" customFormat="1" ht="12.95" hidden="1" customHeight="1">
      <c r="B19" s="26" t="s">
        <v>5</v>
      </c>
      <c r="C19" s="18">
        <f t="shared" si="0"/>
        <v>654.28</v>
      </c>
      <c r="E19" s="13" t="s">
        <v>5</v>
      </c>
      <c r="F19" s="14">
        <v>654.28</v>
      </c>
      <c r="G19" s="14">
        <v>616.37</v>
      </c>
      <c r="H19" s="14">
        <v>616.37</v>
      </c>
      <c r="I19" s="14">
        <v>614.51</v>
      </c>
      <c r="J19" s="14">
        <v>614.51</v>
      </c>
      <c r="K19" s="14">
        <v>614.51</v>
      </c>
      <c r="L19" s="14">
        <v>614.51</v>
      </c>
      <c r="M19" s="14">
        <v>662.81</v>
      </c>
      <c r="N19" s="14">
        <v>1380.96</v>
      </c>
    </row>
    <row r="20" spans="2:14" s="2" customFormat="1" ht="12.95" hidden="1" customHeight="1">
      <c r="B20" s="26" t="s">
        <v>66</v>
      </c>
      <c r="C20" s="18">
        <f t="shared" si="0"/>
        <v>0</v>
      </c>
      <c r="E20" s="27" t="s">
        <v>66</v>
      </c>
      <c r="F20" s="14"/>
      <c r="G20" s="14"/>
      <c r="H20" s="14"/>
      <c r="I20" s="14"/>
      <c r="J20" s="14"/>
      <c r="K20" s="14"/>
      <c r="L20" s="14"/>
      <c r="M20" s="14"/>
      <c r="N20" s="14"/>
    </row>
    <row r="21" spans="2:14" s="2" customFormat="1" ht="12.95" hidden="1" customHeight="1">
      <c r="B21" s="26" t="s">
        <v>80</v>
      </c>
      <c r="C21" s="18">
        <f t="shared" si="0"/>
        <v>0</v>
      </c>
      <c r="E21" s="27" t="s">
        <v>80</v>
      </c>
      <c r="F21" s="14"/>
      <c r="G21" s="14"/>
      <c r="H21" s="14"/>
      <c r="I21" s="14"/>
      <c r="J21" s="14"/>
      <c r="K21" s="14"/>
      <c r="L21" s="14"/>
      <c r="M21" s="14"/>
      <c r="N21" s="14"/>
    </row>
    <row r="22" spans="2:14" s="2" customFormat="1" ht="12.95" hidden="1" customHeight="1">
      <c r="B22" s="26" t="s">
        <v>26</v>
      </c>
      <c r="C22" s="18">
        <f t="shared" si="0"/>
        <v>90</v>
      </c>
      <c r="E22" s="27" t="s">
        <v>26</v>
      </c>
      <c r="F22" s="14">
        <v>90</v>
      </c>
      <c r="G22" s="14">
        <v>90</v>
      </c>
      <c r="H22" s="14">
        <v>90</v>
      </c>
      <c r="I22" s="14">
        <v>90</v>
      </c>
      <c r="J22" s="14">
        <v>90</v>
      </c>
      <c r="K22" s="14">
        <v>90</v>
      </c>
      <c r="L22" s="14">
        <v>90</v>
      </c>
      <c r="M22" s="14">
        <v>90</v>
      </c>
      <c r="N22" s="14">
        <v>90</v>
      </c>
    </row>
    <row r="23" spans="2:14" s="2" customFormat="1" ht="12.95" hidden="1" customHeight="1">
      <c r="B23" s="26" t="s">
        <v>27</v>
      </c>
      <c r="C23" s="18">
        <f t="shared" si="0"/>
        <v>100</v>
      </c>
      <c r="E23" s="27" t="s">
        <v>27</v>
      </c>
      <c r="F23" s="14">
        <v>100</v>
      </c>
      <c r="G23" s="14">
        <v>100</v>
      </c>
      <c r="H23" s="14">
        <v>100</v>
      </c>
      <c r="I23" s="14">
        <v>100</v>
      </c>
      <c r="J23" s="14">
        <v>100</v>
      </c>
      <c r="K23" s="14">
        <v>100</v>
      </c>
      <c r="L23" s="14">
        <v>100</v>
      </c>
      <c r="M23" s="14">
        <v>100</v>
      </c>
      <c r="N23" s="14">
        <v>100</v>
      </c>
    </row>
    <row r="24" spans="2:14" s="2" customFormat="1" ht="12.95" hidden="1" customHeight="1">
      <c r="B24" s="26" t="s">
        <v>28</v>
      </c>
      <c r="C24" s="18">
        <f t="shared" si="0"/>
        <v>115</v>
      </c>
      <c r="E24" s="27" t="s">
        <v>28</v>
      </c>
      <c r="F24" s="14">
        <v>115</v>
      </c>
      <c r="G24" s="14">
        <v>115</v>
      </c>
      <c r="H24" s="14">
        <v>115</v>
      </c>
      <c r="I24" s="14">
        <v>115</v>
      </c>
      <c r="J24" s="14">
        <v>115</v>
      </c>
      <c r="K24" s="14">
        <v>115</v>
      </c>
      <c r="L24" s="14">
        <v>115</v>
      </c>
      <c r="M24" s="14">
        <v>115</v>
      </c>
      <c r="N24" s="14">
        <v>115</v>
      </c>
    </row>
    <row r="25" spans="2:14" s="2" customFormat="1" ht="12.95" hidden="1" customHeight="1">
      <c r="B25" s="26" t="s">
        <v>29</v>
      </c>
      <c r="C25" s="18">
        <f t="shared" si="0"/>
        <v>130</v>
      </c>
      <c r="E25" s="27" t="s">
        <v>29</v>
      </c>
      <c r="F25" s="14">
        <v>130</v>
      </c>
      <c r="G25" s="14">
        <v>130</v>
      </c>
      <c r="H25" s="14">
        <v>130</v>
      </c>
      <c r="I25" s="14">
        <v>130</v>
      </c>
      <c r="J25" s="14">
        <v>130</v>
      </c>
      <c r="K25" s="14">
        <v>130</v>
      </c>
      <c r="L25" s="14">
        <v>130</v>
      </c>
      <c r="M25" s="14">
        <v>130</v>
      </c>
      <c r="N25" s="14">
        <v>130</v>
      </c>
    </row>
    <row r="26" spans="2:14" s="2" customFormat="1" ht="12.95" hidden="1" customHeight="1">
      <c r="B26" s="26" t="s">
        <v>30</v>
      </c>
      <c r="C26" s="18">
        <f t="shared" si="0"/>
        <v>70</v>
      </c>
      <c r="E26" s="27" t="s">
        <v>30</v>
      </c>
      <c r="F26" s="14">
        <v>70</v>
      </c>
      <c r="G26" s="14">
        <v>70</v>
      </c>
      <c r="H26" s="14">
        <v>70</v>
      </c>
      <c r="I26" s="14">
        <v>70</v>
      </c>
      <c r="J26" s="14">
        <v>70</v>
      </c>
      <c r="K26" s="14">
        <v>70</v>
      </c>
      <c r="L26" s="14">
        <v>70</v>
      </c>
      <c r="M26" s="14">
        <v>70</v>
      </c>
      <c r="N26" s="14">
        <v>70</v>
      </c>
    </row>
    <row r="27" spans="2:14" s="2" customFormat="1" ht="12.95" hidden="1" customHeight="1">
      <c r="B27" s="26" t="s">
        <v>32</v>
      </c>
      <c r="C27" s="18">
        <f t="shared" si="0"/>
        <v>0</v>
      </c>
      <c r="E27" s="27" t="s">
        <v>32</v>
      </c>
      <c r="F27" s="14"/>
      <c r="G27" s="14"/>
      <c r="H27" s="14"/>
      <c r="I27" s="14"/>
      <c r="J27" s="14"/>
      <c r="K27" s="14"/>
      <c r="L27" s="14"/>
      <c r="M27" s="14"/>
      <c r="N27" s="14"/>
    </row>
    <row r="28" spans="2:14" s="2" customFormat="1" ht="12.95" hidden="1" customHeight="1">
      <c r="B28" s="26" t="s">
        <v>6</v>
      </c>
      <c r="C28" s="18">
        <f>IF($C$11=$F$11,F28,IF($C$11=G$11,G28,IF($C$11=H$11,H28,IF($C$11=I$11,I28,IF($C$11=J$11,J28,IF($C$11=K$11,K28,IF($C$11=L$11,L28,IF($C$11=M$11,M28,N28))))))))</f>
        <v>117.25</v>
      </c>
      <c r="E28" s="28" t="s">
        <v>6</v>
      </c>
      <c r="F28" s="14">
        <v>117.25</v>
      </c>
      <c r="G28" s="14">
        <v>117.25</v>
      </c>
      <c r="H28" s="14">
        <v>117.25</v>
      </c>
      <c r="I28" s="14">
        <v>130.26</v>
      </c>
      <c r="J28" s="14">
        <v>130.26</v>
      </c>
      <c r="K28" s="14">
        <v>130.26</v>
      </c>
      <c r="L28" s="14">
        <v>130.26</v>
      </c>
      <c r="M28" s="14">
        <v>146.55000000000001</v>
      </c>
      <c r="N28" s="14">
        <v>162.78</v>
      </c>
    </row>
    <row r="29" spans="2:14" s="2" customFormat="1" ht="12.95" hidden="1" customHeight="1">
      <c r="B29" s="26" t="s">
        <v>7</v>
      </c>
      <c r="C29" s="18">
        <f t="shared" ref="C29:C35" si="1">IF($C$11=$F$11,F29,IF($C$11=G$11,G29,IF($C$11=H$11,H29,IF($C$11=I$11,I29,IF($C$11=J$11,J29,IF($C$11=K$11,K29,IF($C$11=L$11,L29,IF($C$11=M$11,M29,N29))))))))</f>
        <v>390.61</v>
      </c>
      <c r="E29" s="28" t="s">
        <v>7</v>
      </c>
      <c r="F29" s="14">
        <v>390.61</v>
      </c>
      <c r="G29" s="14">
        <v>390.61</v>
      </c>
      <c r="H29" s="14">
        <v>390.61</v>
      </c>
      <c r="I29" s="14">
        <v>434.01</v>
      </c>
      <c r="J29" s="14">
        <v>434.01</v>
      </c>
      <c r="K29" s="14">
        <v>434.01</v>
      </c>
      <c r="L29" s="14">
        <v>434.01</v>
      </c>
      <c r="M29" s="14">
        <v>488.27</v>
      </c>
      <c r="N29" s="14">
        <v>542.51</v>
      </c>
    </row>
    <row r="30" spans="2:14" s="2" customFormat="1" ht="12.95" hidden="1" customHeight="1">
      <c r="B30" s="26" t="s">
        <v>8</v>
      </c>
      <c r="C30" s="18">
        <f t="shared" si="1"/>
        <v>27.41</v>
      </c>
      <c r="E30" s="28" t="s">
        <v>8</v>
      </c>
      <c r="F30" s="14">
        <v>27.41</v>
      </c>
      <c r="G30" s="14">
        <v>27.41</v>
      </c>
      <c r="H30" s="14">
        <v>27.41</v>
      </c>
      <c r="I30" s="14">
        <v>30.5</v>
      </c>
      <c r="J30" s="14">
        <v>30.5</v>
      </c>
      <c r="K30" s="14">
        <v>30.5</v>
      </c>
      <c r="L30" s="14">
        <v>30.5</v>
      </c>
      <c r="M30" s="14">
        <v>34.25</v>
      </c>
      <c r="N30" s="14">
        <v>38.06</v>
      </c>
    </row>
    <row r="31" spans="2:14" s="2" customFormat="1" ht="12.95" hidden="1" customHeight="1">
      <c r="B31" s="26" t="s">
        <v>77</v>
      </c>
      <c r="C31" s="18">
        <f t="shared" si="1"/>
        <v>73.19</v>
      </c>
      <c r="E31" s="29" t="s">
        <v>77</v>
      </c>
      <c r="F31" s="14">
        <v>73.19</v>
      </c>
      <c r="G31" s="14"/>
      <c r="H31" s="14"/>
      <c r="I31" s="14"/>
      <c r="J31" s="14"/>
      <c r="K31" s="14"/>
      <c r="L31" s="14"/>
      <c r="M31" s="14"/>
      <c r="N31" s="14"/>
    </row>
    <row r="32" spans="2:14" s="2" customFormat="1" ht="12.95" hidden="1" customHeight="1">
      <c r="B32" s="26" t="s">
        <v>81</v>
      </c>
      <c r="C32" s="18">
        <f t="shared" si="1"/>
        <v>0</v>
      </c>
      <c r="E32" s="30" t="s">
        <v>81</v>
      </c>
      <c r="F32" s="14"/>
      <c r="G32" s="14"/>
      <c r="H32" s="14"/>
      <c r="I32" s="14"/>
      <c r="J32" s="14"/>
      <c r="K32" s="14"/>
      <c r="L32" s="14"/>
      <c r="M32" s="14"/>
      <c r="N32" s="14"/>
    </row>
    <row r="33" spans="2:14" s="2" customFormat="1" ht="12.95" hidden="1" customHeight="1">
      <c r="B33" s="26" t="s">
        <v>78</v>
      </c>
      <c r="C33" s="18">
        <f t="shared" si="1"/>
        <v>0</v>
      </c>
      <c r="E33" s="30" t="s">
        <v>78</v>
      </c>
      <c r="F33" s="14"/>
      <c r="G33" s="14"/>
      <c r="H33" s="14"/>
      <c r="I33" s="14"/>
      <c r="J33" s="14"/>
      <c r="K33" s="14"/>
      <c r="L33" s="14"/>
      <c r="M33" s="14"/>
      <c r="N33" s="14"/>
    </row>
    <row r="34" spans="2:14" s="2" customFormat="1" ht="12.95" hidden="1" customHeight="1">
      <c r="B34" s="26" t="s">
        <v>82</v>
      </c>
      <c r="C34" s="18">
        <f t="shared" si="1"/>
        <v>0</v>
      </c>
      <c r="E34" s="30" t="s">
        <v>82</v>
      </c>
      <c r="F34" s="14"/>
      <c r="G34" s="14"/>
      <c r="H34" s="14"/>
      <c r="I34" s="14"/>
      <c r="J34" s="14"/>
      <c r="K34" s="14"/>
      <c r="L34" s="14"/>
      <c r="M34" s="14"/>
      <c r="N34" s="14"/>
    </row>
    <row r="35" spans="2:14" s="2" customFormat="1" ht="12.95" hidden="1" customHeight="1">
      <c r="B35" s="19" t="s">
        <v>79</v>
      </c>
      <c r="C35" s="18">
        <f t="shared" si="1"/>
        <v>0</v>
      </c>
      <c r="E35" s="31" t="s">
        <v>79</v>
      </c>
      <c r="F35" s="14"/>
      <c r="G35" s="14"/>
      <c r="H35" s="14"/>
      <c r="I35" s="14"/>
      <c r="J35" s="14"/>
      <c r="K35" s="14"/>
      <c r="L35" s="14"/>
      <c r="M35" s="14"/>
      <c r="N35" s="14"/>
    </row>
    <row r="36" spans="2:14" s="2" customFormat="1" ht="12.95" hidden="1" customHeight="1">
      <c r="B36" s="19" t="s">
        <v>9</v>
      </c>
      <c r="C36" s="18">
        <f>IF($C$11=$F$11,F36,IF($C$11=G$11,G36,IF($C$11=H$11,H36,IF($C$11=I$11,I36,IF($C$11=J$11,J36,IF($C$11=K$11,K36,IF($C$11=L$11,L36,IF($C$11=M$11,M36,N36))))))))</f>
        <v>-37.67</v>
      </c>
      <c r="E36" s="22" t="s">
        <v>9</v>
      </c>
      <c r="F36" s="20">
        <v>-37.67</v>
      </c>
      <c r="G36" s="20">
        <v>-37.67</v>
      </c>
      <c r="H36" s="20">
        <v>-37.67</v>
      </c>
      <c r="I36" s="20">
        <v>-47.86</v>
      </c>
      <c r="J36" s="20">
        <v>-47.86</v>
      </c>
      <c r="K36" s="20">
        <v>-47.86</v>
      </c>
      <c r="L36" s="20">
        <v>-47.86</v>
      </c>
      <c r="M36" s="20">
        <v>-47.86</v>
      </c>
      <c r="N36" s="20">
        <v>-47.86</v>
      </c>
    </row>
    <row r="37" spans="2:14" s="2" customFormat="1" ht="12.95" hidden="1" customHeight="1">
      <c r="B37" s="19" t="s">
        <v>16</v>
      </c>
      <c r="C37" s="18">
        <f>IF($C$11=$F$11,F37,IF($C$11=G$11,G37,IF($C$11=H$11,H37,IF($C$11=I$11,I37,IF($C$11=J$11,J37,IF($C$11=K$11,K37,IF($C$11=L$11,L37,IF($C$11=M$11,M37,N37))))))))</f>
        <v>-86.03</v>
      </c>
      <c r="E37" s="22" t="s">
        <v>16</v>
      </c>
      <c r="F37" s="20">
        <v>-86.03</v>
      </c>
      <c r="G37" s="20">
        <v>-86.03</v>
      </c>
      <c r="H37" s="20">
        <v>-86.03</v>
      </c>
      <c r="I37" s="20">
        <v>-109.31</v>
      </c>
      <c r="J37" s="20">
        <v>-109.31</v>
      </c>
      <c r="K37" s="20">
        <v>-109.31</v>
      </c>
      <c r="L37" s="20">
        <v>-109.31</v>
      </c>
      <c r="M37" s="20">
        <v>-109.31</v>
      </c>
      <c r="N37" s="20">
        <v>-109.31</v>
      </c>
    </row>
    <row r="38" spans="2:14" hidden="1">
      <c r="B38" s="1" t="s">
        <v>18</v>
      </c>
      <c r="C38" s="18">
        <f>IF($C$11=$F$11,F38,IF($C$11=G$11,G38,IF($C$11=H$11,H38,IF($C$11=I$11,I38,IF($C$11=J$11,J38,IF($C$11=K$11,K38,IF($C$11=L$11,L38,IF($C$11=M$11,M38,N38))))))))</f>
        <v>36847.316800000008</v>
      </c>
      <c r="E38" s="32" t="s">
        <v>18</v>
      </c>
      <c r="F38" s="82">
        <f>((+F14+F18+F19+F20)*12)+(F16*INT($C$3/3)*12)+((F15+F18)*2)+((F19+F20)*0.78*2)+(F17*INT($C$3/3)*2)+(IF($C$6="s",(F29+12)+(F30*INT($C$3/3)*12),F28*12))+(IF($C$4="s",F31,0))+(((IF(INT($C$3/3)&lt;6,F21,0))+(IF(AND(INT($C$3/6)&gt;0,INT($C$3/6)&lt;2),F22,0))+(IF(AND(INT($C$3/6)&gt;1,INT($C$3/6)&lt;3),F22+F23,0))+(IF(AND(INT($C$3/6)&gt;2,INT($C$3/6)&lt;4),F22+F23+F24,0))+(IF(AND(INT($C$3/6)&gt;3,INT($C$3/6)&lt;5),F22+F23+F24+F25,0))+(IF(INT($C$3/6)&gt;4,F22+F23+F24+F25+F26,0)))*12)+(IF($C$7="s",F27*12,0))+(((IF(INT($C$3/3)&lt;6,F21,0))+(IF(AND(INT($C$3/6)&gt;0,INT($C$3/6)&lt;2),F22,0))+(IF(AND(INT($C$3/6)&gt;1,INT($C$3/6)&lt;3),F22+F23,0))+(IF(AND(INT($C$3/6)&gt;2,INT($C$3/6)&lt;4),F22+F23+F24,0))+(IF(AND(INT($C$3/6)&gt;3,INT($C$3/6)&lt;5),F22+F23+F24+F25,0))+(IF(INT($C$3/6)&gt;4,F22+F23+F24+F25+F26,0)))*2*0.78)+(F32*12)+(F33*2)</f>
        <v>36847.316800000008</v>
      </c>
      <c r="G38" s="82">
        <f t="shared" ref="G38:N38" si="2">((+G14+G18+G19+G20)*12)+(G16*INT($C$3/3)*12)+((G15+G18)*2)+((G19+G20)*0.78*2)+(G17*INT($C$3/3)*2)+(IF($C$6="s",(G29+12)+(G30*INT($C$3/3)*12),G28*12))+(IF($C$4="s",G31,0))+(((IF(INT($C$3/3)&lt;6,G21,0))+(IF(AND(INT($C$3/6)&gt;0,INT($C$3/6)&lt;2),G22,0))+(IF(AND(INT($C$3/6)&gt;1,INT($C$3/6)&lt;3),G22+G23,0))+(IF(AND(INT($C$3/6)&gt;2,INT($C$3/6)&lt;4),G22+G23+G24,0))+(IF(AND(INT($C$3/6)&gt;3,INT($C$3/6)&lt;5),G22+G23+G24+G25,0))+(IF(INT($C$3/6)&gt;4,G22+G23+G24+G25+G26,0)))*12)+(IF($C$7="s",G27*12,0))+(((IF(INT($C$3/3)&lt;6,G21,0))+(IF(AND(INT($C$3/6)&gt;0,INT($C$3/6)&lt;2),G22,0))+(IF(AND(INT($C$3/6)&gt;1,INT($C$3/6)&lt;3),G22+G23,0))+(IF(AND(INT($C$3/6)&gt;2,INT($C$3/6)&lt;4),G22+G23+G24,0))+(IF(AND(INT($C$3/6)&gt;3,INT($C$3/6)&lt;5),G22+G23+G24+G25,0))+(IF(INT($C$3/6)&gt;4,G22+G23+G24+G25+G26,0)))*2*0.78)+(G32*12)+(G33*2)</f>
        <v>37888.517200000002</v>
      </c>
      <c r="H38" s="82">
        <f t="shared" si="2"/>
        <v>37888.517200000002</v>
      </c>
      <c r="I38" s="82">
        <f t="shared" si="2"/>
        <v>40369.695600000006</v>
      </c>
      <c r="J38" s="82">
        <f t="shared" si="2"/>
        <v>40369.695600000006</v>
      </c>
      <c r="K38" s="82">
        <f t="shared" si="2"/>
        <v>40369.695600000006</v>
      </c>
      <c r="L38" s="82">
        <f t="shared" si="2"/>
        <v>40369.695600000006</v>
      </c>
      <c r="M38" s="82">
        <f t="shared" si="2"/>
        <v>42856.1636</v>
      </c>
      <c r="N38" s="82">
        <f t="shared" si="2"/>
        <v>52789.037600000003</v>
      </c>
    </row>
    <row r="39" spans="2:14" hidden="1">
      <c r="C39" s="18">
        <f>IF($C$11=$F$11,F39,IF($C$11=G$11,G39,IF($C$11=H$11,H39,IF($C$11=I$11,I39,IF($C$11=J$11,J39,IF($C$11=K$11,K39,IF($C$11=L$11,L39,IF($C$11=M$11,M39,N39))))))))</f>
        <v>32711.516800000009</v>
      </c>
      <c r="F39" s="82">
        <f>+F38-(((IF(AND(INT($C$3/6)&gt;0,INT($C$3/6)&lt;2),F22,0))+(IF(AND(INT($C$3/6)&gt;1,INT($C$3/6)&lt;3),F22+F23,0))+(IF(AND(INT($C$3/6)&gt;2,INT($C$3/6)&lt;4),F22+F23+F24,0))+(IF(AND(INT($C$3/6)&gt;3,INT($C$3/6)&lt;5),F22+F23+F24+F25,0))+(IF(INT($C$3/6)&gt;4,F22+F23+F24+F25+F26,0)))*12)-(((IF(AND(INT($C$3/6)&gt;0,INT($C$3/6)&lt;2),F22,0))+(IF(AND(INT($C$3/6)&gt;1,INT($C$3/6)&lt;3),F22+F23,0))+(IF(AND(INT($C$3/6)&gt;2,INT($C$3/6)&lt;4),F22+F23+F24,0))+(IF(AND(INT($C$3/6)&gt;3,INT($C$3/6)&lt;5),F22+F23+F24+F25,0))+(IF(INT($C$3/6)&gt;4,F22+F23+F24+F25+F26,0)))*2*0.78)</f>
        <v>32711.516800000009</v>
      </c>
      <c r="G39" s="82">
        <f t="shared" ref="G39:N39" si="3">+G38-(((IF(AND(INT($C$3/6)&gt;0,INT($C$3/6)&lt;2),G22,0))+(IF(AND(INT($C$3/6)&gt;1,INT($C$3/6)&lt;3),G22+G23,0))+(IF(AND(INT($C$3/6)&gt;2,INT($C$3/6)&lt;4),G22+G23+G24,0))+(IF(AND(INT($C$3/6)&gt;3,INT($C$3/6)&lt;5),G22+G23+G24+G25,0))+(IF(INT($C$3/6)&gt;4,G22+G23+G24+G25+G26,0)))*12)-(((IF(AND(INT($C$3/6)&gt;0,INT($C$3/6)&lt;2),G22,0))+(IF(AND(INT($C$3/6)&gt;1,INT($C$3/6)&lt;3),G22+G23,0))+(IF(AND(INT($C$3/6)&gt;2,INT($C$3/6)&lt;4),G22+G23+G24,0))+(IF(AND(INT($C$3/6)&gt;3,INT($C$3/6)&lt;5),G22+G23+G24+G25,0))+(IF(INT($C$3/6)&gt;4,G22+G23+G24+G25+G26,0)))*2*0.78)</f>
        <v>33752.717199999999</v>
      </c>
      <c r="H39" s="82">
        <f t="shared" si="3"/>
        <v>33752.717199999999</v>
      </c>
      <c r="I39" s="82">
        <f t="shared" si="3"/>
        <v>36233.895600000003</v>
      </c>
      <c r="J39" s="82">
        <f t="shared" si="3"/>
        <v>36233.895600000003</v>
      </c>
      <c r="K39" s="82">
        <f t="shared" si="3"/>
        <v>36233.895600000003</v>
      </c>
      <c r="L39" s="82">
        <f t="shared" si="3"/>
        <v>36233.895600000003</v>
      </c>
      <c r="M39" s="82">
        <f t="shared" si="3"/>
        <v>38720.363599999997</v>
      </c>
      <c r="N39" s="82">
        <f t="shared" si="3"/>
        <v>48653.2376</v>
      </c>
    </row>
    <row r="40" spans="2:14" hidden="1">
      <c r="F40" s="83"/>
    </row>
    <row r="41" spans="2:14" hidden="1"/>
    <row r="42" spans="2:14" hidden="1"/>
    <row r="43" spans="2:14" hidden="1"/>
    <row r="44" spans="2:14" hidden="1"/>
    <row r="45" spans="2:14" s="2" customFormat="1" ht="12.95" hidden="1" customHeight="1">
      <c r="B45" s="3"/>
      <c r="C45" s="2" t="str">
        <f>+E46</f>
        <v>Andalucía</v>
      </c>
    </row>
    <row r="46" spans="2:14" s="2" customFormat="1" ht="35.25" hidden="1" customHeight="1">
      <c r="C46" s="7" t="str">
        <f>+$C$11</f>
        <v>597-Maestros</v>
      </c>
      <c r="E46" s="15" t="s">
        <v>35</v>
      </c>
      <c r="F46" s="6" t="s">
        <v>60</v>
      </c>
      <c r="G46" s="6" t="s">
        <v>55</v>
      </c>
      <c r="H46" s="6" t="s">
        <v>59</v>
      </c>
      <c r="I46" s="6" t="s">
        <v>54</v>
      </c>
      <c r="J46" s="6" t="s">
        <v>56</v>
      </c>
      <c r="K46" s="6" t="s">
        <v>57</v>
      </c>
      <c r="L46" s="6" t="s">
        <v>58</v>
      </c>
      <c r="M46" s="6" t="s">
        <v>53</v>
      </c>
      <c r="N46" s="6" t="s">
        <v>52</v>
      </c>
    </row>
    <row r="47" spans="2:14" s="2" customFormat="1" ht="12.95" hidden="1" customHeight="1">
      <c r="B47" s="12" t="s">
        <v>1</v>
      </c>
      <c r="C47" s="11" t="str">
        <f t="shared" ref="C47:C73" si="4">IF($C$11=$F$11,F47,IF($C$11=G$11,G47,IF($C$11=H$11,H47,IF($C$11=I$11,I47,IF($C$11=J$11,J47,IF($C$11=K$11,K47,IF($C$11=L$11,L47,IF($C$11=M$11,M47,N47))))))))</f>
        <v>A2</v>
      </c>
      <c r="E47" s="5" t="s">
        <v>1</v>
      </c>
      <c r="F47" s="4" t="s">
        <v>61</v>
      </c>
      <c r="G47" s="4" t="s">
        <v>61</v>
      </c>
      <c r="H47" s="4" t="s">
        <v>61</v>
      </c>
      <c r="I47" s="4" t="s">
        <v>17</v>
      </c>
      <c r="J47" s="4" t="s">
        <v>17</v>
      </c>
      <c r="K47" s="4" t="s">
        <v>17</v>
      </c>
      <c r="L47" s="4" t="s">
        <v>17</v>
      </c>
      <c r="M47" s="4" t="s">
        <v>17</v>
      </c>
      <c r="N47" s="4" t="s">
        <v>17</v>
      </c>
    </row>
    <row r="48" spans="2:14" s="2" customFormat="1" ht="12.95" hidden="1" customHeight="1">
      <c r="B48" s="12" t="str">
        <f>+E48</f>
        <v>Nivel</v>
      </c>
      <c r="C48" s="11">
        <f t="shared" si="4"/>
        <v>21</v>
      </c>
      <c r="E48" s="5" t="s">
        <v>0</v>
      </c>
      <c r="F48" s="4">
        <v>21</v>
      </c>
      <c r="G48" s="4">
        <v>24</v>
      </c>
      <c r="H48" s="4">
        <v>24</v>
      </c>
      <c r="I48" s="4">
        <v>24</v>
      </c>
      <c r="J48" s="4">
        <v>24</v>
      </c>
      <c r="K48" s="4">
        <v>24</v>
      </c>
      <c r="L48" s="4">
        <v>24</v>
      </c>
      <c r="M48" s="4">
        <v>26</v>
      </c>
      <c r="N48" s="4">
        <v>26</v>
      </c>
    </row>
    <row r="49" spans="2:15" s="2" customFormat="1" ht="12.95" hidden="1" customHeight="1">
      <c r="B49" s="13" t="s">
        <v>2</v>
      </c>
      <c r="C49" s="11">
        <f t="shared" si="4"/>
        <v>958.98</v>
      </c>
      <c r="E49" s="13" t="s">
        <v>2</v>
      </c>
      <c r="F49" s="14">
        <v>958.98</v>
      </c>
      <c r="G49" s="14">
        <v>958.98</v>
      </c>
      <c r="H49" s="14">
        <v>958.98</v>
      </c>
      <c r="I49" s="14">
        <v>1109.0999999999999</v>
      </c>
      <c r="J49" s="14">
        <f>+I49</f>
        <v>1109.0999999999999</v>
      </c>
      <c r="K49" s="14">
        <f>+J49</f>
        <v>1109.0999999999999</v>
      </c>
      <c r="L49" s="14">
        <f>+K49</f>
        <v>1109.0999999999999</v>
      </c>
      <c r="M49" s="14">
        <f>+L49</f>
        <v>1109.0999999999999</v>
      </c>
      <c r="N49" s="14">
        <f>+M49</f>
        <v>1109.0999999999999</v>
      </c>
    </row>
    <row r="50" spans="2:15" s="2" customFormat="1" ht="12.95" hidden="1" customHeight="1">
      <c r="B50" s="13" t="s">
        <v>64</v>
      </c>
      <c r="C50" s="11">
        <f t="shared" si="4"/>
        <v>699.38</v>
      </c>
      <c r="E50" s="13" t="s">
        <v>64</v>
      </c>
      <c r="F50" s="19">
        <v>699.38</v>
      </c>
      <c r="G50" s="19">
        <v>699.38</v>
      </c>
      <c r="H50" s="19">
        <v>699.38</v>
      </c>
      <c r="I50" s="19">
        <v>684.36</v>
      </c>
      <c r="J50" s="14">
        <f t="shared" ref="J50:N54" si="5">+I50</f>
        <v>684.36</v>
      </c>
      <c r="K50" s="14">
        <f t="shared" si="5"/>
        <v>684.36</v>
      </c>
      <c r="L50" s="14">
        <f t="shared" si="5"/>
        <v>684.36</v>
      </c>
      <c r="M50" s="14">
        <f t="shared" si="5"/>
        <v>684.36</v>
      </c>
      <c r="N50" s="14">
        <f t="shared" si="5"/>
        <v>684.36</v>
      </c>
    </row>
    <row r="51" spans="2:15" s="2" customFormat="1" ht="12.95" hidden="1" customHeight="1">
      <c r="B51" s="13" t="s">
        <v>3</v>
      </c>
      <c r="C51" s="11">
        <f t="shared" si="4"/>
        <v>34.770000000000003</v>
      </c>
      <c r="E51" s="13" t="s">
        <v>3</v>
      </c>
      <c r="F51" s="14">
        <v>34.770000000000003</v>
      </c>
      <c r="G51" s="14">
        <v>34.770000000000003</v>
      </c>
      <c r="H51" s="14">
        <v>34.770000000000003</v>
      </c>
      <c r="I51" s="14">
        <v>42.65</v>
      </c>
      <c r="J51" s="14">
        <f t="shared" si="5"/>
        <v>42.65</v>
      </c>
      <c r="K51" s="14">
        <f t="shared" si="5"/>
        <v>42.65</v>
      </c>
      <c r="L51" s="14">
        <f t="shared" si="5"/>
        <v>42.65</v>
      </c>
      <c r="M51" s="14">
        <f t="shared" si="5"/>
        <v>42.65</v>
      </c>
      <c r="N51" s="14">
        <f t="shared" si="5"/>
        <v>42.65</v>
      </c>
    </row>
    <row r="52" spans="2:15" s="2" customFormat="1" ht="12.95" hidden="1" customHeight="1">
      <c r="B52" s="13" t="s">
        <v>65</v>
      </c>
      <c r="C52" s="11">
        <f t="shared" si="4"/>
        <v>25.35</v>
      </c>
      <c r="E52" s="13" t="s">
        <v>65</v>
      </c>
      <c r="F52" s="19">
        <v>25.35</v>
      </c>
      <c r="G52" s="19">
        <v>25.35</v>
      </c>
      <c r="H52" s="19">
        <v>25.35</v>
      </c>
      <c r="I52" s="19">
        <v>26.31</v>
      </c>
      <c r="J52" s="14">
        <f t="shared" si="5"/>
        <v>26.31</v>
      </c>
      <c r="K52" s="14">
        <f t="shared" si="5"/>
        <v>26.31</v>
      </c>
      <c r="L52" s="14">
        <f t="shared" si="5"/>
        <v>26.31</v>
      </c>
      <c r="M52" s="14">
        <f t="shared" si="5"/>
        <v>26.31</v>
      </c>
      <c r="N52" s="14">
        <f t="shared" si="5"/>
        <v>26.31</v>
      </c>
    </row>
    <row r="53" spans="2:15" s="2" customFormat="1" ht="12.95" hidden="1" customHeight="1">
      <c r="B53" s="13" t="s">
        <v>4</v>
      </c>
      <c r="C53" s="11">
        <f t="shared" si="4"/>
        <v>473.35</v>
      </c>
      <c r="E53" s="13" t="s">
        <v>4</v>
      </c>
      <c r="F53" s="14">
        <v>473.35</v>
      </c>
      <c r="G53" s="14">
        <v>582.91999999999996</v>
      </c>
      <c r="H53" s="14">
        <v>582.91999999999996</v>
      </c>
      <c r="I53" s="14">
        <v>582.91999999999996</v>
      </c>
      <c r="J53" s="14">
        <f t="shared" si="5"/>
        <v>582.91999999999996</v>
      </c>
      <c r="K53" s="14">
        <f t="shared" si="5"/>
        <v>582.91999999999996</v>
      </c>
      <c r="L53" s="14">
        <f t="shared" si="5"/>
        <v>582.91999999999996</v>
      </c>
      <c r="M53" s="14">
        <v>698.2</v>
      </c>
      <c r="N53" s="14">
        <v>698.2</v>
      </c>
    </row>
    <row r="54" spans="2:15" s="2" customFormat="1" ht="12.95" hidden="1" customHeight="1">
      <c r="B54" s="13" t="s">
        <v>5</v>
      </c>
      <c r="C54" s="11">
        <f t="shared" si="4"/>
        <v>561.02</v>
      </c>
      <c r="E54" s="13" t="s">
        <v>5</v>
      </c>
      <c r="F54" s="14">
        <v>561.02</v>
      </c>
      <c r="G54" s="14">
        <v>561.02</v>
      </c>
      <c r="H54" s="14">
        <f>+G54</f>
        <v>561.02</v>
      </c>
      <c r="I54" s="14">
        <v>563.29999999999995</v>
      </c>
      <c r="J54" s="14">
        <f t="shared" si="5"/>
        <v>563.29999999999995</v>
      </c>
      <c r="K54" s="14">
        <f t="shared" si="5"/>
        <v>563.29999999999995</v>
      </c>
      <c r="L54" s="14">
        <f t="shared" si="5"/>
        <v>563.29999999999995</v>
      </c>
      <c r="M54" s="14">
        <f t="shared" ref="M54:N54" si="6">+L54</f>
        <v>563.29999999999995</v>
      </c>
      <c r="N54" s="14">
        <f t="shared" si="6"/>
        <v>563.29999999999995</v>
      </c>
    </row>
    <row r="55" spans="2:15" s="2" customFormat="1" ht="12.95" hidden="1" customHeight="1">
      <c r="B55" s="27" t="s">
        <v>66</v>
      </c>
      <c r="C55" s="11">
        <f t="shared" si="4"/>
        <v>0</v>
      </c>
      <c r="E55" s="27" t="s">
        <v>66</v>
      </c>
      <c r="F55" s="14"/>
      <c r="G55" s="14"/>
      <c r="H55" s="14"/>
      <c r="I55" s="14"/>
      <c r="J55" s="14"/>
      <c r="K55" s="14"/>
      <c r="L55" s="14"/>
      <c r="M55" s="14"/>
      <c r="N55" s="14"/>
    </row>
    <row r="56" spans="2:15" s="2" customFormat="1" ht="12.95" hidden="1" customHeight="1">
      <c r="B56" s="27" t="s">
        <v>80</v>
      </c>
      <c r="C56" s="11">
        <f t="shared" si="4"/>
        <v>0</v>
      </c>
      <c r="E56" s="27" t="s">
        <v>80</v>
      </c>
      <c r="F56" s="14"/>
      <c r="G56" s="14"/>
      <c r="H56" s="14"/>
      <c r="I56" s="14"/>
      <c r="J56" s="14"/>
      <c r="K56" s="14"/>
      <c r="L56" s="14"/>
      <c r="M56" s="14"/>
      <c r="N56" s="14"/>
    </row>
    <row r="57" spans="2:15" s="2" customFormat="1" ht="12.95" hidden="1" customHeight="1">
      <c r="B57" s="27" t="s">
        <v>26</v>
      </c>
      <c r="C57" s="11">
        <f t="shared" si="4"/>
        <v>68.41</v>
      </c>
      <c r="E57" s="27" t="s">
        <v>26</v>
      </c>
      <c r="F57" s="14">
        <v>68.41</v>
      </c>
      <c r="G57" s="14">
        <f>+F57</f>
        <v>68.41</v>
      </c>
      <c r="H57" s="14">
        <f>+G57</f>
        <v>68.41</v>
      </c>
      <c r="I57" s="14">
        <f>+H57</f>
        <v>68.41</v>
      </c>
      <c r="J57" s="14">
        <f>+I57</f>
        <v>68.41</v>
      </c>
      <c r="K57" s="14">
        <f t="shared" ref="K57:K62" si="7">+J57</f>
        <v>68.41</v>
      </c>
      <c r="L57" s="14">
        <f t="shared" ref="L57:L62" si="8">+K57</f>
        <v>68.41</v>
      </c>
      <c r="M57" s="14">
        <f t="shared" ref="M57:M62" si="9">+L57</f>
        <v>68.41</v>
      </c>
      <c r="N57" s="14">
        <f t="shared" ref="N57:N62" si="10">+M57</f>
        <v>68.41</v>
      </c>
    </row>
    <row r="58" spans="2:15" s="2" customFormat="1" ht="12.95" hidden="1" customHeight="1">
      <c r="B58" s="27" t="s">
        <v>27</v>
      </c>
      <c r="C58" s="11">
        <f t="shared" si="4"/>
        <v>79.53</v>
      </c>
      <c r="E58" s="27" t="s">
        <v>27</v>
      </c>
      <c r="F58" s="14">
        <v>79.53</v>
      </c>
      <c r="G58" s="14">
        <f t="shared" ref="G58:J62" si="11">+F58</f>
        <v>79.53</v>
      </c>
      <c r="H58" s="14">
        <f t="shared" si="11"/>
        <v>79.53</v>
      </c>
      <c r="I58" s="14">
        <f t="shared" si="11"/>
        <v>79.53</v>
      </c>
      <c r="J58" s="14">
        <f t="shared" si="11"/>
        <v>79.53</v>
      </c>
      <c r="K58" s="14">
        <f t="shared" si="7"/>
        <v>79.53</v>
      </c>
      <c r="L58" s="14">
        <f t="shared" si="8"/>
        <v>79.53</v>
      </c>
      <c r="M58" s="14">
        <f t="shared" si="9"/>
        <v>79.53</v>
      </c>
      <c r="N58" s="14">
        <f t="shared" si="10"/>
        <v>79.53</v>
      </c>
    </row>
    <row r="59" spans="2:15" s="2" customFormat="1" ht="12.95" hidden="1" customHeight="1">
      <c r="B59" s="27" t="s">
        <v>28</v>
      </c>
      <c r="C59" s="11">
        <f t="shared" si="4"/>
        <v>101.93</v>
      </c>
      <c r="E59" s="27" t="s">
        <v>28</v>
      </c>
      <c r="F59" s="14">
        <v>101.93</v>
      </c>
      <c r="G59" s="14">
        <f t="shared" si="11"/>
        <v>101.93</v>
      </c>
      <c r="H59" s="14">
        <f t="shared" si="11"/>
        <v>101.93</v>
      </c>
      <c r="I59" s="14">
        <f t="shared" si="11"/>
        <v>101.93</v>
      </c>
      <c r="J59" s="14">
        <f t="shared" si="11"/>
        <v>101.93</v>
      </c>
      <c r="K59" s="14">
        <f t="shared" si="7"/>
        <v>101.93</v>
      </c>
      <c r="L59" s="14">
        <f t="shared" si="8"/>
        <v>101.93</v>
      </c>
      <c r="M59" s="14">
        <f t="shared" si="9"/>
        <v>101.93</v>
      </c>
      <c r="N59" s="14">
        <f t="shared" si="10"/>
        <v>101.93</v>
      </c>
    </row>
    <row r="60" spans="2:15" s="2" customFormat="1" ht="12.95" hidden="1" customHeight="1">
      <c r="B60" s="27" t="s">
        <v>29</v>
      </c>
      <c r="C60" s="11">
        <f t="shared" si="4"/>
        <v>129.49</v>
      </c>
      <c r="E60" s="27" t="s">
        <v>29</v>
      </c>
      <c r="F60" s="14">
        <v>129.49</v>
      </c>
      <c r="G60" s="14">
        <f t="shared" si="11"/>
        <v>129.49</v>
      </c>
      <c r="H60" s="14">
        <f t="shared" si="11"/>
        <v>129.49</v>
      </c>
      <c r="I60" s="14">
        <f t="shared" si="11"/>
        <v>129.49</v>
      </c>
      <c r="J60" s="14">
        <f t="shared" si="11"/>
        <v>129.49</v>
      </c>
      <c r="K60" s="14">
        <f t="shared" si="7"/>
        <v>129.49</v>
      </c>
      <c r="L60" s="14">
        <f t="shared" si="8"/>
        <v>129.49</v>
      </c>
      <c r="M60" s="14">
        <f t="shared" si="9"/>
        <v>129.49</v>
      </c>
      <c r="N60" s="14">
        <f t="shared" si="10"/>
        <v>129.49</v>
      </c>
    </row>
    <row r="61" spans="2:15" s="2" customFormat="1" ht="12.95" hidden="1" customHeight="1">
      <c r="B61" s="27" t="s">
        <v>30</v>
      </c>
      <c r="C61" s="11">
        <f t="shared" si="4"/>
        <v>50.57</v>
      </c>
      <c r="E61" s="27" t="s">
        <v>30</v>
      </c>
      <c r="F61" s="14">
        <v>50.57</v>
      </c>
      <c r="G61" s="14">
        <f t="shared" si="11"/>
        <v>50.57</v>
      </c>
      <c r="H61" s="14">
        <f t="shared" si="11"/>
        <v>50.57</v>
      </c>
      <c r="I61" s="14">
        <f t="shared" si="11"/>
        <v>50.57</v>
      </c>
      <c r="J61" s="14">
        <f t="shared" si="11"/>
        <v>50.57</v>
      </c>
      <c r="K61" s="14">
        <f t="shared" si="7"/>
        <v>50.57</v>
      </c>
      <c r="L61" s="14">
        <f t="shared" si="8"/>
        <v>50.57</v>
      </c>
      <c r="M61" s="14">
        <f t="shared" si="9"/>
        <v>50.57</v>
      </c>
      <c r="N61" s="14">
        <f t="shared" si="10"/>
        <v>50.57</v>
      </c>
    </row>
    <row r="62" spans="2:15" s="2" customFormat="1" ht="12.95" hidden="1" customHeight="1">
      <c r="B62" s="27" t="s">
        <v>32</v>
      </c>
      <c r="C62" s="11">
        <f t="shared" si="4"/>
        <v>25.49</v>
      </c>
      <c r="E62" s="27" t="s">
        <v>32</v>
      </c>
      <c r="F62" s="19">
        <v>25.49</v>
      </c>
      <c r="G62" s="14">
        <f t="shared" si="11"/>
        <v>25.49</v>
      </c>
      <c r="H62" s="14">
        <f t="shared" si="11"/>
        <v>25.49</v>
      </c>
      <c r="I62" s="14">
        <f t="shared" si="11"/>
        <v>25.49</v>
      </c>
      <c r="J62" s="14">
        <f t="shared" si="11"/>
        <v>25.49</v>
      </c>
      <c r="K62" s="14">
        <f t="shared" si="7"/>
        <v>25.49</v>
      </c>
      <c r="L62" s="14">
        <f t="shared" si="8"/>
        <v>25.49</v>
      </c>
      <c r="M62" s="14">
        <f t="shared" si="9"/>
        <v>25.49</v>
      </c>
      <c r="N62" s="14">
        <f t="shared" si="10"/>
        <v>25.49</v>
      </c>
      <c r="O62" s="79"/>
    </row>
    <row r="63" spans="2:15" s="2" customFormat="1" ht="12.95" hidden="1" customHeight="1">
      <c r="B63" s="28" t="s">
        <v>6</v>
      </c>
      <c r="C63" s="11">
        <f t="shared" si="4"/>
        <v>0</v>
      </c>
      <c r="E63" s="28" t="s">
        <v>6</v>
      </c>
      <c r="F63" s="14"/>
      <c r="G63" s="14"/>
      <c r="H63" s="14"/>
      <c r="I63" s="14"/>
      <c r="J63" s="14"/>
      <c r="K63" s="14"/>
      <c r="L63" s="14"/>
      <c r="M63" s="14"/>
      <c r="N63" s="14"/>
    </row>
    <row r="64" spans="2:15" s="2" customFormat="1" ht="12.95" hidden="1" customHeight="1">
      <c r="B64" s="28" t="s">
        <v>7</v>
      </c>
      <c r="C64" s="11">
        <f t="shared" si="4"/>
        <v>0</v>
      </c>
      <c r="E64" s="28" t="s">
        <v>7</v>
      </c>
      <c r="F64" s="14"/>
      <c r="G64" s="14"/>
      <c r="H64" s="14"/>
      <c r="I64" s="14"/>
      <c r="J64" s="14"/>
      <c r="K64" s="14"/>
      <c r="L64" s="14"/>
      <c r="M64" s="14"/>
      <c r="N64" s="14"/>
    </row>
    <row r="65" spans="2:14" s="2" customFormat="1" ht="12.95" hidden="1" customHeight="1">
      <c r="B65" s="28" t="s">
        <v>8</v>
      </c>
      <c r="C65" s="11">
        <f t="shared" si="4"/>
        <v>0</v>
      </c>
      <c r="E65" s="28" t="s">
        <v>8</v>
      </c>
      <c r="F65" s="14"/>
      <c r="G65" s="14"/>
      <c r="H65" s="14"/>
      <c r="I65" s="14"/>
      <c r="J65" s="14"/>
      <c r="K65" s="14"/>
      <c r="L65" s="14"/>
      <c r="M65" s="14"/>
      <c r="N65" s="14"/>
    </row>
    <row r="66" spans="2:14" s="2" customFormat="1" ht="12.95" hidden="1" customHeight="1">
      <c r="B66" s="29" t="s">
        <v>77</v>
      </c>
      <c r="C66" s="11">
        <f t="shared" si="4"/>
        <v>0</v>
      </c>
      <c r="E66" s="29" t="s">
        <v>77</v>
      </c>
      <c r="F66" s="14"/>
      <c r="G66" s="14"/>
      <c r="H66" s="14"/>
      <c r="I66" s="14"/>
      <c r="J66" s="14"/>
      <c r="K66" s="14"/>
      <c r="L66" s="14"/>
      <c r="M66" s="14"/>
      <c r="N66" s="14"/>
    </row>
    <row r="67" spans="2:14" s="2" customFormat="1" ht="12.95" hidden="1" customHeight="1">
      <c r="B67" s="30" t="s">
        <v>81</v>
      </c>
      <c r="C67" s="11">
        <f t="shared" si="4"/>
        <v>0</v>
      </c>
      <c r="E67" s="30" t="s">
        <v>81</v>
      </c>
      <c r="F67" s="14"/>
      <c r="G67" s="14"/>
      <c r="H67" s="14"/>
      <c r="I67" s="14"/>
      <c r="J67" s="14"/>
      <c r="K67" s="14"/>
      <c r="L67" s="14"/>
      <c r="M67" s="14"/>
      <c r="N67" s="14"/>
    </row>
    <row r="68" spans="2:14" s="2" customFormat="1" ht="12.95" hidden="1" customHeight="1">
      <c r="B68" s="30" t="s">
        <v>78</v>
      </c>
      <c r="C68" s="11">
        <f t="shared" si="4"/>
        <v>0</v>
      </c>
      <c r="E68" s="30" t="s">
        <v>78</v>
      </c>
      <c r="F68" s="14"/>
      <c r="G68" s="14"/>
      <c r="H68" s="14"/>
      <c r="I68" s="14"/>
      <c r="J68" s="14"/>
      <c r="K68" s="14"/>
      <c r="L68" s="14"/>
      <c r="M68" s="14"/>
      <c r="N68" s="14"/>
    </row>
    <row r="69" spans="2:14" s="2" customFormat="1" ht="12.95" hidden="1" customHeight="1">
      <c r="B69" s="30" t="s">
        <v>82</v>
      </c>
      <c r="C69" s="11">
        <f t="shared" si="4"/>
        <v>0</v>
      </c>
      <c r="E69" s="30" t="s">
        <v>82</v>
      </c>
      <c r="F69" s="14"/>
      <c r="G69" s="14"/>
      <c r="H69" s="14"/>
      <c r="I69" s="14"/>
      <c r="J69" s="14"/>
      <c r="K69" s="14"/>
      <c r="L69" s="14"/>
      <c r="M69" s="14"/>
      <c r="N69" s="14"/>
    </row>
    <row r="70" spans="2:14" s="2" customFormat="1" ht="12.95" hidden="1" customHeight="1">
      <c r="B70" s="31" t="s">
        <v>79</v>
      </c>
      <c r="C70" s="11">
        <f t="shared" si="4"/>
        <v>0</v>
      </c>
      <c r="E70" s="31" t="s">
        <v>79</v>
      </c>
      <c r="F70" s="14"/>
      <c r="G70" s="14"/>
      <c r="H70" s="14"/>
      <c r="I70" s="14"/>
      <c r="J70" s="14"/>
      <c r="K70" s="14"/>
      <c r="L70" s="14"/>
      <c r="M70" s="14"/>
      <c r="N70" s="14"/>
    </row>
    <row r="71" spans="2:14" s="2" customFormat="1" ht="12.95" hidden="1" customHeight="1">
      <c r="B71" s="22" t="s">
        <v>9</v>
      </c>
      <c r="C71" s="11">
        <f t="shared" si="4"/>
        <v>-37.67</v>
      </c>
      <c r="E71" s="22" t="s">
        <v>9</v>
      </c>
      <c r="F71" s="20">
        <v>-37.67</v>
      </c>
      <c r="G71" s="20">
        <v>-37.67</v>
      </c>
      <c r="H71" s="20">
        <v>-37.67</v>
      </c>
      <c r="I71" s="20">
        <v>-47.86</v>
      </c>
      <c r="J71" s="20">
        <v>-47.86</v>
      </c>
      <c r="K71" s="20">
        <v>-47.86</v>
      </c>
      <c r="L71" s="20">
        <v>-47.86</v>
      </c>
      <c r="M71" s="20">
        <v>-47.86</v>
      </c>
      <c r="N71" s="20">
        <v>-47.86</v>
      </c>
    </row>
    <row r="72" spans="2:14" s="2" customFormat="1" ht="12.95" hidden="1" customHeight="1">
      <c r="B72" s="22" t="s">
        <v>16</v>
      </c>
      <c r="C72" s="11">
        <f t="shared" si="4"/>
        <v>-86.03</v>
      </c>
      <c r="E72" s="22" t="s">
        <v>16</v>
      </c>
      <c r="F72" s="20">
        <v>-86.03</v>
      </c>
      <c r="G72" s="20">
        <v>-86.03</v>
      </c>
      <c r="H72" s="20">
        <v>-86.03</v>
      </c>
      <c r="I72" s="20">
        <v>-109.31</v>
      </c>
      <c r="J72" s="20">
        <v>-109.31</v>
      </c>
      <c r="K72" s="20">
        <v>-109.31</v>
      </c>
      <c r="L72" s="20">
        <v>-109.31</v>
      </c>
      <c r="M72" s="20">
        <v>-109.31</v>
      </c>
      <c r="N72" s="20">
        <v>-109.31</v>
      </c>
    </row>
    <row r="73" spans="2:14" hidden="1">
      <c r="B73" s="1" t="s">
        <v>18</v>
      </c>
      <c r="C73" s="11">
        <f t="shared" si="4"/>
        <v>33336.7284</v>
      </c>
      <c r="E73" s="32" t="s">
        <v>18</v>
      </c>
      <c r="F73" s="82">
        <f>((+F49+F53+F54+F55)*12)+(F51*INT($C$3/3)*12)+((F50+F53)*2)+((F54+F55)*0.78*2)+(F52*INT($C$3/3)*2)+(IF($C$6="s",(F64+12)+(F65*INT($C$3/3)*12),F63*12))+(IF($C$4="s",F66,0))+(((IF(INT($C$3/3)&lt;6,F56,0))+(IF(AND(INT($C$3/6)&gt;0,INT($C$3/6)&lt;2),F57,0))+(IF(AND(INT($C$3/6)&gt;1,INT($C$3/6)&lt;3),F57+F58,0))+(IF(AND(INT($C$3/6)&gt;2,INT($C$3/6)&lt;4),F57+F58+F59,0))+(IF(AND(INT($C$3/6)&gt;3,INT($C$3/6)&lt;5),F57+F58+F59+F60,0))+(IF(INT($C$3/6)&gt;4,F57+F58+F59+F60+F61,0)))*12)+(IF($C$7="s",F62*12,0))++(((IF(INT($C$3/3)&lt;6,F56,0))+(IF(AND(INT($C$3/6)&gt;0,INT($C$3/6)&lt;2),F57,0))+(IF(AND(INT($C$3/6)&gt;1,INT($C$3/6)&lt;3),F57+F58,0))+(IF(AND(INT($C$3/6)&gt;2,INT($C$3/6)&lt;4),F57+F58+F59,0))+(IF(AND(INT($C$3/6)&gt;3,INT($C$3/6)&lt;5),F57+F58+F59+F60,0))+(IF(INT($C$3/6)&gt;4,F57+F58+F59+F60+F61,0)))*2*0.78)+(F67*12)+(F68*2)</f>
        <v>33336.7284</v>
      </c>
      <c r="G73" s="82">
        <f t="shared" ref="G73:N73" si="12">((+G49+G53+G54+G55)*12)+(G51*INT($C$3/3)*12)+((G50+G53)*2)+((G54+G55)*0.78*2)+(G52*INT($C$3/3)*2)+(IF($C$6="s",(G64+12)+(G65*INT($C$3/3)*12),G63*12))+(IF($C$4="s",G66,0))+(((IF(INT($C$3/3)&lt;6,G56,0))+(IF(AND(INT($C$3/6)&gt;0,INT($C$3/6)&lt;2),G57,0))+(IF(AND(INT($C$3/6)&gt;1,INT($C$3/6)&lt;3),G57+G58,0))+(IF(AND(INT($C$3/6)&gt;2,INT($C$3/6)&lt;4),G57+G58+G59,0))+(IF(AND(INT($C$3/6)&gt;3,INT($C$3/6)&lt;5),G57+G58+G59+G60,0))+(IF(INT($C$3/6)&gt;4,G57+G58+G59+G60+G61,0)))*12)+(IF($C$7="s",G62*12,0))++(((IF(INT($C$3/3)&lt;6,G56,0))+(IF(AND(INT($C$3/6)&gt;0,INT($C$3/6)&lt;2),G57,0))+(IF(AND(INT($C$3/6)&gt;1,INT($C$3/6)&lt;3),G57+G58,0))+(IF(AND(INT($C$3/6)&gt;2,INT($C$3/6)&lt;4),G57+G58+G59,0))+(IF(AND(INT($C$3/6)&gt;3,INT($C$3/6)&lt;5),G57+G58+G59+G60,0))+(IF(INT($C$3/6)&gt;4,G57+G58+G59+G60+G61,0)))*2*0.78)+(G67*12)+(G68*2)</f>
        <v>34870.708400000003</v>
      </c>
      <c r="H73" s="82">
        <f t="shared" si="12"/>
        <v>34870.708400000003</v>
      </c>
      <c r="I73" s="82">
        <f t="shared" si="12"/>
        <v>37251.905200000001</v>
      </c>
      <c r="J73" s="82">
        <f t="shared" si="12"/>
        <v>37251.905200000001</v>
      </c>
      <c r="K73" s="82">
        <f t="shared" si="12"/>
        <v>37251.905200000001</v>
      </c>
      <c r="L73" s="82">
        <f t="shared" si="12"/>
        <v>37251.905200000001</v>
      </c>
      <c r="M73" s="82">
        <f t="shared" si="12"/>
        <v>38865.825199999999</v>
      </c>
      <c r="N73" s="82">
        <f t="shared" si="12"/>
        <v>38865.825199999999</v>
      </c>
    </row>
    <row r="74" spans="2:14" hidden="1"/>
    <row r="75" spans="2:14" hidden="1"/>
    <row r="76" spans="2:14" hidden="1"/>
    <row r="77" spans="2:14" hidden="1"/>
    <row r="78" spans="2:14" hidden="1"/>
    <row r="79" spans="2:14" hidden="1"/>
    <row r="80" spans="2:14" s="2" customFormat="1" ht="12.95" hidden="1" customHeight="1">
      <c r="B80" s="3"/>
      <c r="C80" s="2" t="str">
        <f>+E81</f>
        <v>Aragón</v>
      </c>
    </row>
    <row r="81" spans="2:14" s="2" customFormat="1" ht="35.25" hidden="1" customHeight="1">
      <c r="C81" s="7" t="str">
        <f>+$C$11</f>
        <v>597-Maestros</v>
      </c>
      <c r="E81" s="15" t="s">
        <v>36</v>
      </c>
      <c r="F81" s="6" t="s">
        <v>60</v>
      </c>
      <c r="G81" s="6" t="s">
        <v>55</v>
      </c>
      <c r="H81" s="6" t="s">
        <v>59</v>
      </c>
      <c r="I81" s="6" t="s">
        <v>54</v>
      </c>
      <c r="J81" s="6" t="s">
        <v>56</v>
      </c>
      <c r="K81" s="6" t="s">
        <v>57</v>
      </c>
      <c r="L81" s="6" t="s">
        <v>58</v>
      </c>
      <c r="M81" s="6" t="s">
        <v>53</v>
      </c>
      <c r="N81" s="6" t="s">
        <v>52</v>
      </c>
    </row>
    <row r="82" spans="2:14" s="2" customFormat="1" ht="12.95" hidden="1" customHeight="1">
      <c r="B82" s="12" t="s">
        <v>1</v>
      </c>
      <c r="C82" s="11" t="str">
        <f t="shared" ref="C82:C108" si="13">IF($C$11=$F$11,F82,IF($C$11=G$11,G82,IF($C$11=H$11,H82,IF($C$11=I$11,I82,IF($C$11=J$11,J82,IF($C$11=K$11,K82,IF($C$11=L$11,L82,IF($C$11=M$11,M82,N82))))))))</f>
        <v>A2</v>
      </c>
      <c r="E82" s="5" t="s">
        <v>1</v>
      </c>
      <c r="F82" s="4" t="s">
        <v>61</v>
      </c>
      <c r="G82" s="4" t="s">
        <v>61</v>
      </c>
      <c r="H82" s="4" t="s">
        <v>61</v>
      </c>
      <c r="I82" s="4" t="s">
        <v>17</v>
      </c>
      <c r="J82" s="4" t="s">
        <v>17</v>
      </c>
      <c r="K82" s="4" t="s">
        <v>17</v>
      </c>
      <c r="L82" s="4" t="s">
        <v>17</v>
      </c>
      <c r="M82" s="4" t="s">
        <v>17</v>
      </c>
      <c r="N82" s="4" t="s">
        <v>17</v>
      </c>
    </row>
    <row r="83" spans="2:14" s="2" customFormat="1" ht="12.95" hidden="1" customHeight="1">
      <c r="B83" s="12" t="str">
        <f>+E83</f>
        <v>Nivel</v>
      </c>
      <c r="C83" s="11">
        <f t="shared" si="13"/>
        <v>21</v>
      </c>
      <c r="E83" s="5" t="s">
        <v>0</v>
      </c>
      <c r="F83" s="4">
        <v>21</v>
      </c>
      <c r="G83" s="4">
        <v>24</v>
      </c>
      <c r="H83" s="4">
        <v>24</v>
      </c>
      <c r="I83" s="4">
        <v>24</v>
      </c>
      <c r="J83" s="4">
        <v>24</v>
      </c>
      <c r="K83" s="4">
        <v>24</v>
      </c>
      <c r="L83" s="4">
        <v>24</v>
      </c>
      <c r="M83" s="4">
        <v>26</v>
      </c>
      <c r="N83" s="4">
        <v>26</v>
      </c>
    </row>
    <row r="84" spans="2:14" s="2" customFormat="1" ht="12.95" hidden="1" customHeight="1">
      <c r="B84" s="13" t="s">
        <v>2</v>
      </c>
      <c r="C84" s="11">
        <f t="shared" si="13"/>
        <v>958.98</v>
      </c>
      <c r="E84" s="13" t="s">
        <v>2</v>
      </c>
      <c r="F84" s="14">
        <v>958.98</v>
      </c>
      <c r="G84" s="14">
        <v>958.98</v>
      </c>
      <c r="H84" s="14">
        <v>958.98</v>
      </c>
      <c r="I84" s="14">
        <v>1109.0999999999999</v>
      </c>
      <c r="J84" s="14">
        <f>+I84</f>
        <v>1109.0999999999999</v>
      </c>
      <c r="K84" s="14">
        <f>+J84</f>
        <v>1109.0999999999999</v>
      </c>
      <c r="L84" s="14">
        <f>+K84</f>
        <v>1109.0999999999999</v>
      </c>
      <c r="M84" s="14">
        <f>+L84</f>
        <v>1109.0999999999999</v>
      </c>
      <c r="N84" s="14">
        <f>+M84</f>
        <v>1109.0999999999999</v>
      </c>
    </row>
    <row r="85" spans="2:14" s="2" customFormat="1" ht="12.95" hidden="1" customHeight="1">
      <c r="B85" s="13" t="s">
        <v>64</v>
      </c>
      <c r="C85" s="11">
        <f t="shared" si="13"/>
        <v>699.38</v>
      </c>
      <c r="E85" s="13" t="s">
        <v>64</v>
      </c>
      <c r="F85" s="19">
        <v>699.38</v>
      </c>
      <c r="G85" s="19">
        <v>699.38</v>
      </c>
      <c r="H85" s="19">
        <v>699.38</v>
      </c>
      <c r="I85" s="19">
        <v>684.36</v>
      </c>
      <c r="J85" s="14">
        <f t="shared" ref="J85:N89" si="14">+I85</f>
        <v>684.36</v>
      </c>
      <c r="K85" s="14">
        <f t="shared" si="14"/>
        <v>684.36</v>
      </c>
      <c r="L85" s="14">
        <f t="shared" si="14"/>
        <v>684.36</v>
      </c>
      <c r="M85" s="14">
        <f t="shared" si="14"/>
        <v>684.36</v>
      </c>
      <c r="N85" s="14">
        <f t="shared" si="14"/>
        <v>684.36</v>
      </c>
    </row>
    <row r="86" spans="2:14" s="2" customFormat="1" ht="12.95" hidden="1" customHeight="1">
      <c r="B86" s="13" t="s">
        <v>3</v>
      </c>
      <c r="C86" s="11">
        <f t="shared" si="13"/>
        <v>34.770000000000003</v>
      </c>
      <c r="E86" s="13" t="s">
        <v>3</v>
      </c>
      <c r="F86" s="14">
        <v>34.770000000000003</v>
      </c>
      <c r="G86" s="14">
        <v>34.770000000000003</v>
      </c>
      <c r="H86" s="14">
        <v>34.770000000000003</v>
      </c>
      <c r="I86" s="14">
        <v>42.65</v>
      </c>
      <c r="J86" s="14">
        <f t="shared" si="14"/>
        <v>42.65</v>
      </c>
      <c r="K86" s="14">
        <f t="shared" si="14"/>
        <v>42.65</v>
      </c>
      <c r="L86" s="14">
        <f t="shared" si="14"/>
        <v>42.65</v>
      </c>
      <c r="M86" s="14">
        <f t="shared" si="14"/>
        <v>42.65</v>
      </c>
      <c r="N86" s="14">
        <f t="shared" si="14"/>
        <v>42.65</v>
      </c>
    </row>
    <row r="87" spans="2:14" s="2" customFormat="1" ht="12.95" hidden="1" customHeight="1">
      <c r="B87" s="13" t="s">
        <v>65</v>
      </c>
      <c r="C87" s="11">
        <f t="shared" si="13"/>
        <v>25.35</v>
      </c>
      <c r="E87" s="13" t="s">
        <v>65</v>
      </c>
      <c r="F87" s="19">
        <v>25.35</v>
      </c>
      <c r="G87" s="19">
        <v>25.35</v>
      </c>
      <c r="H87" s="19">
        <v>25.35</v>
      </c>
      <c r="I87" s="19">
        <v>26.31</v>
      </c>
      <c r="J87" s="14">
        <f t="shared" si="14"/>
        <v>26.31</v>
      </c>
      <c r="K87" s="14">
        <f t="shared" si="14"/>
        <v>26.31</v>
      </c>
      <c r="L87" s="14">
        <f t="shared" si="14"/>
        <v>26.31</v>
      </c>
      <c r="M87" s="14">
        <f t="shared" si="14"/>
        <v>26.31</v>
      </c>
      <c r="N87" s="14">
        <f t="shared" si="14"/>
        <v>26.31</v>
      </c>
    </row>
    <row r="88" spans="2:14" s="2" customFormat="1" ht="12.95" hidden="1" customHeight="1">
      <c r="B88" s="13" t="s">
        <v>4</v>
      </c>
      <c r="C88" s="11">
        <f t="shared" si="13"/>
        <v>473.35</v>
      </c>
      <c r="E88" s="13" t="s">
        <v>4</v>
      </c>
      <c r="F88" s="14">
        <v>473.35</v>
      </c>
      <c r="G88" s="14">
        <v>582.91999999999996</v>
      </c>
      <c r="H88" s="14">
        <v>582.91999999999996</v>
      </c>
      <c r="I88" s="14">
        <v>582.91999999999996</v>
      </c>
      <c r="J88" s="14">
        <f t="shared" si="14"/>
        <v>582.91999999999996</v>
      </c>
      <c r="K88" s="14">
        <f t="shared" si="14"/>
        <v>582.91999999999996</v>
      </c>
      <c r="L88" s="14">
        <f t="shared" si="14"/>
        <v>582.91999999999996</v>
      </c>
      <c r="M88" s="14">
        <f t="shared" si="14"/>
        <v>582.91999999999996</v>
      </c>
      <c r="N88" s="14">
        <f t="shared" si="14"/>
        <v>582.91999999999996</v>
      </c>
    </row>
    <row r="89" spans="2:14" s="2" customFormat="1" ht="12.95" hidden="1" customHeight="1">
      <c r="B89" s="13" t="s">
        <v>5</v>
      </c>
      <c r="C89" s="11">
        <f t="shared" si="13"/>
        <v>549.32000000000005</v>
      </c>
      <c r="E89" s="13" t="s">
        <v>5</v>
      </c>
      <c r="F89" s="14">
        <v>549.32000000000005</v>
      </c>
      <c r="G89" s="14">
        <v>551.77</v>
      </c>
      <c r="H89" s="14">
        <f>+G89</f>
        <v>551.77</v>
      </c>
      <c r="I89" s="14">
        <v>556.75</v>
      </c>
      <c r="J89" s="14">
        <f t="shared" si="14"/>
        <v>556.75</v>
      </c>
      <c r="K89" s="14">
        <f t="shared" si="14"/>
        <v>556.75</v>
      </c>
      <c r="L89" s="14">
        <f t="shared" si="14"/>
        <v>556.75</v>
      </c>
      <c r="M89" s="14">
        <v>609.29</v>
      </c>
      <c r="N89" s="14">
        <v>646.54</v>
      </c>
    </row>
    <row r="90" spans="2:14" s="2" customFormat="1" ht="12.95" hidden="1" customHeight="1">
      <c r="B90" s="27" t="s">
        <v>66</v>
      </c>
      <c r="C90" s="11">
        <f t="shared" si="13"/>
        <v>0</v>
      </c>
      <c r="E90" s="27" t="s">
        <v>66</v>
      </c>
      <c r="F90" s="14"/>
      <c r="G90" s="14"/>
      <c r="H90" s="14"/>
      <c r="I90" s="14"/>
      <c r="J90" s="14"/>
      <c r="K90" s="14"/>
      <c r="L90" s="14"/>
      <c r="M90" s="14"/>
      <c r="N90" s="14"/>
    </row>
    <row r="91" spans="2:14" s="2" customFormat="1" ht="12.95" hidden="1" customHeight="1">
      <c r="B91" s="27" t="s">
        <v>80</v>
      </c>
      <c r="C91" s="11">
        <f t="shared" si="13"/>
        <v>0</v>
      </c>
      <c r="E91" s="27" t="s">
        <v>80</v>
      </c>
      <c r="F91" s="14"/>
      <c r="G91" s="14"/>
      <c r="H91" s="14"/>
      <c r="I91" s="14"/>
      <c r="J91" s="14"/>
      <c r="K91" s="14"/>
      <c r="L91" s="14"/>
      <c r="M91" s="14"/>
      <c r="N91" s="14"/>
    </row>
    <row r="92" spans="2:14" s="2" customFormat="1" ht="12.95" hidden="1" customHeight="1">
      <c r="B92" s="27" t="s">
        <v>26</v>
      </c>
      <c r="C92" s="11">
        <f t="shared" si="13"/>
        <v>77.180000000000007</v>
      </c>
      <c r="E92" s="27" t="s">
        <v>26</v>
      </c>
      <c r="F92" s="84">
        <v>77.180000000000007</v>
      </c>
      <c r="G92" s="14">
        <f>+F92</f>
        <v>77.180000000000007</v>
      </c>
      <c r="H92" s="14">
        <f t="shared" ref="H92:N92" si="15">+G92</f>
        <v>77.180000000000007</v>
      </c>
      <c r="I92" s="14">
        <f t="shared" si="15"/>
        <v>77.180000000000007</v>
      </c>
      <c r="J92" s="14">
        <f t="shared" si="15"/>
        <v>77.180000000000007</v>
      </c>
      <c r="K92" s="14">
        <f t="shared" si="15"/>
        <v>77.180000000000007</v>
      </c>
      <c r="L92" s="14">
        <f t="shared" si="15"/>
        <v>77.180000000000007</v>
      </c>
      <c r="M92" s="14">
        <f t="shared" si="15"/>
        <v>77.180000000000007</v>
      </c>
      <c r="N92" s="14">
        <f t="shared" si="15"/>
        <v>77.180000000000007</v>
      </c>
    </row>
    <row r="93" spans="2:14" s="2" customFormat="1" ht="12.95" hidden="1" customHeight="1">
      <c r="B93" s="27" t="s">
        <v>27</v>
      </c>
      <c r="C93" s="11">
        <f t="shared" si="13"/>
        <v>91.57</v>
      </c>
      <c r="E93" s="27" t="s">
        <v>27</v>
      </c>
      <c r="F93" s="85">
        <v>91.57</v>
      </c>
      <c r="G93" s="14">
        <f t="shared" ref="G93:N93" si="16">+F93</f>
        <v>91.57</v>
      </c>
      <c r="H93" s="14">
        <f t="shared" si="16"/>
        <v>91.57</v>
      </c>
      <c r="I93" s="14">
        <f t="shared" si="16"/>
        <v>91.57</v>
      </c>
      <c r="J93" s="14">
        <f t="shared" si="16"/>
        <v>91.57</v>
      </c>
      <c r="K93" s="14">
        <f t="shared" si="16"/>
        <v>91.57</v>
      </c>
      <c r="L93" s="14">
        <f t="shared" si="16"/>
        <v>91.57</v>
      </c>
      <c r="M93" s="14">
        <f t="shared" si="16"/>
        <v>91.57</v>
      </c>
      <c r="N93" s="14">
        <f t="shared" si="16"/>
        <v>91.57</v>
      </c>
    </row>
    <row r="94" spans="2:14" s="2" customFormat="1" ht="12.95" hidden="1" customHeight="1">
      <c r="B94" s="27" t="s">
        <v>28</v>
      </c>
      <c r="C94" s="11">
        <f t="shared" si="13"/>
        <v>114.92</v>
      </c>
      <c r="E94" s="27" t="s">
        <v>28</v>
      </c>
      <c r="F94" s="84">
        <v>114.92</v>
      </c>
      <c r="G94" s="14">
        <f t="shared" ref="G94:N94" si="17">+F94</f>
        <v>114.92</v>
      </c>
      <c r="H94" s="14">
        <f t="shared" si="17"/>
        <v>114.92</v>
      </c>
      <c r="I94" s="14">
        <f t="shared" si="17"/>
        <v>114.92</v>
      </c>
      <c r="J94" s="14">
        <f t="shared" si="17"/>
        <v>114.92</v>
      </c>
      <c r="K94" s="14">
        <f t="shared" si="17"/>
        <v>114.92</v>
      </c>
      <c r="L94" s="14">
        <f t="shared" si="17"/>
        <v>114.92</v>
      </c>
      <c r="M94" s="14">
        <f t="shared" si="17"/>
        <v>114.92</v>
      </c>
      <c r="N94" s="14">
        <f t="shared" si="17"/>
        <v>114.92</v>
      </c>
    </row>
    <row r="95" spans="2:14" s="2" customFormat="1" ht="12.95" hidden="1" customHeight="1">
      <c r="B95" s="27" t="s">
        <v>29</v>
      </c>
      <c r="C95" s="11">
        <f t="shared" si="13"/>
        <v>130.13</v>
      </c>
      <c r="E95" s="27" t="s">
        <v>29</v>
      </c>
      <c r="F95" s="85">
        <v>130.13</v>
      </c>
      <c r="G95" s="14">
        <f t="shared" ref="G95:N95" si="18">+F95</f>
        <v>130.13</v>
      </c>
      <c r="H95" s="14">
        <f t="shared" si="18"/>
        <v>130.13</v>
      </c>
      <c r="I95" s="14">
        <f t="shared" si="18"/>
        <v>130.13</v>
      </c>
      <c r="J95" s="14">
        <f t="shared" si="18"/>
        <v>130.13</v>
      </c>
      <c r="K95" s="14">
        <f t="shared" si="18"/>
        <v>130.13</v>
      </c>
      <c r="L95" s="14">
        <f t="shared" si="18"/>
        <v>130.13</v>
      </c>
      <c r="M95" s="14">
        <f t="shared" si="18"/>
        <v>130.13</v>
      </c>
      <c r="N95" s="14">
        <f t="shared" si="18"/>
        <v>130.13</v>
      </c>
    </row>
    <row r="96" spans="2:14" s="2" customFormat="1" ht="12.95" hidden="1" customHeight="1">
      <c r="B96" s="27" t="s">
        <v>30</v>
      </c>
      <c r="C96" s="11">
        <f t="shared" si="13"/>
        <v>48.03</v>
      </c>
      <c r="E96" s="27" t="s">
        <v>30</v>
      </c>
      <c r="F96" s="84">
        <v>48.03</v>
      </c>
      <c r="G96" s="14">
        <f t="shared" ref="G96:N96" si="19">+F96</f>
        <v>48.03</v>
      </c>
      <c r="H96" s="14">
        <f t="shared" si="19"/>
        <v>48.03</v>
      </c>
      <c r="I96" s="14">
        <f t="shared" si="19"/>
        <v>48.03</v>
      </c>
      <c r="J96" s="14">
        <f t="shared" si="19"/>
        <v>48.03</v>
      </c>
      <c r="K96" s="14">
        <f t="shared" si="19"/>
        <v>48.03</v>
      </c>
      <c r="L96" s="14">
        <f t="shared" si="19"/>
        <v>48.03</v>
      </c>
      <c r="M96" s="14">
        <f t="shared" si="19"/>
        <v>48.03</v>
      </c>
      <c r="N96" s="14">
        <f t="shared" si="19"/>
        <v>48.03</v>
      </c>
    </row>
    <row r="97" spans="2:14" s="2" customFormat="1" ht="12.95" hidden="1" customHeight="1">
      <c r="B97" s="27" t="s">
        <v>32</v>
      </c>
      <c r="C97" s="11">
        <f t="shared" si="13"/>
        <v>0</v>
      </c>
      <c r="E97" s="27" t="s">
        <v>32</v>
      </c>
      <c r="F97" s="14"/>
      <c r="G97" s="14">
        <f t="shared" ref="G97:N97" si="20">+F97</f>
        <v>0</v>
      </c>
      <c r="H97" s="14">
        <f t="shared" si="20"/>
        <v>0</v>
      </c>
      <c r="I97" s="14">
        <f t="shared" si="20"/>
        <v>0</v>
      </c>
      <c r="J97" s="14">
        <f t="shared" si="20"/>
        <v>0</v>
      </c>
      <c r="K97" s="14">
        <f t="shared" si="20"/>
        <v>0</v>
      </c>
      <c r="L97" s="14">
        <f t="shared" si="20"/>
        <v>0</v>
      </c>
      <c r="M97" s="14">
        <f t="shared" si="20"/>
        <v>0</v>
      </c>
      <c r="N97" s="14">
        <f t="shared" si="20"/>
        <v>0</v>
      </c>
    </row>
    <row r="98" spans="2:14" s="2" customFormat="1" ht="12.95" hidden="1" customHeight="1">
      <c r="B98" s="28" t="s">
        <v>6</v>
      </c>
      <c r="C98" s="11">
        <f t="shared" si="13"/>
        <v>0</v>
      </c>
      <c r="E98" s="28" t="s">
        <v>6</v>
      </c>
      <c r="F98" s="14"/>
      <c r="G98" s="14"/>
      <c r="H98" s="14"/>
      <c r="I98" s="14"/>
      <c r="J98" s="14"/>
      <c r="K98" s="14"/>
      <c r="L98" s="14"/>
      <c r="M98" s="14"/>
      <c r="N98" s="14"/>
    </row>
    <row r="99" spans="2:14" s="2" customFormat="1" ht="12.95" hidden="1" customHeight="1">
      <c r="B99" s="28" t="s">
        <v>7</v>
      </c>
      <c r="C99" s="11">
        <f t="shared" si="13"/>
        <v>0</v>
      </c>
      <c r="E99" s="28" t="s">
        <v>7</v>
      </c>
      <c r="F99" s="14"/>
      <c r="G99" s="14"/>
      <c r="H99" s="14"/>
      <c r="I99" s="14"/>
      <c r="J99" s="14"/>
      <c r="K99" s="14"/>
      <c r="L99" s="14"/>
      <c r="M99" s="14"/>
      <c r="N99" s="14"/>
    </row>
    <row r="100" spans="2:14" s="2" customFormat="1" ht="12.95" hidden="1" customHeight="1">
      <c r="B100" s="28" t="s">
        <v>8</v>
      </c>
      <c r="C100" s="11">
        <f t="shared" si="13"/>
        <v>0</v>
      </c>
      <c r="E100" s="28" t="s">
        <v>8</v>
      </c>
      <c r="F100" s="14"/>
      <c r="G100" s="14"/>
      <c r="H100" s="14"/>
      <c r="I100" s="14"/>
      <c r="J100" s="14"/>
      <c r="K100" s="14"/>
      <c r="L100" s="14"/>
      <c r="M100" s="14"/>
      <c r="N100" s="14"/>
    </row>
    <row r="101" spans="2:14" s="2" customFormat="1" ht="12.95" hidden="1" customHeight="1">
      <c r="B101" s="29" t="s">
        <v>77</v>
      </c>
      <c r="C101" s="11">
        <f t="shared" si="13"/>
        <v>0</v>
      </c>
      <c r="E101" s="29" t="s">
        <v>77</v>
      </c>
      <c r="F101" s="14"/>
      <c r="G101" s="14"/>
      <c r="H101" s="14"/>
      <c r="I101" s="14"/>
      <c r="J101" s="14"/>
      <c r="K101" s="14"/>
      <c r="L101" s="14"/>
      <c r="M101" s="14"/>
      <c r="N101" s="14"/>
    </row>
    <row r="102" spans="2:14" s="2" customFormat="1" ht="12.95" hidden="1" customHeight="1">
      <c r="B102" s="30" t="s">
        <v>81</v>
      </c>
      <c r="C102" s="11">
        <f t="shared" si="13"/>
        <v>0</v>
      </c>
      <c r="E102" s="30" t="s">
        <v>81</v>
      </c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2:14" s="2" customFormat="1" ht="12.95" hidden="1" customHeight="1">
      <c r="B103" s="30" t="s">
        <v>78</v>
      </c>
      <c r="C103" s="11">
        <f t="shared" si="13"/>
        <v>0</v>
      </c>
      <c r="E103" s="30" t="s">
        <v>78</v>
      </c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2:14" s="2" customFormat="1" ht="12.95" hidden="1" customHeight="1">
      <c r="B104" s="30" t="s">
        <v>82</v>
      </c>
      <c r="C104" s="11">
        <f t="shared" si="13"/>
        <v>0</v>
      </c>
      <c r="E104" s="30" t="s">
        <v>82</v>
      </c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2:14" s="2" customFormat="1" ht="12.95" hidden="1" customHeight="1">
      <c r="B105" s="31" t="s">
        <v>79</v>
      </c>
      <c r="C105" s="11">
        <f t="shared" si="13"/>
        <v>0</v>
      </c>
      <c r="E105" s="31" t="s">
        <v>79</v>
      </c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2:14" s="2" customFormat="1" ht="12.95" hidden="1" customHeight="1">
      <c r="B106" s="22" t="s">
        <v>9</v>
      </c>
      <c r="C106" s="11">
        <f t="shared" si="13"/>
        <v>-37.67</v>
      </c>
      <c r="E106" s="22" t="s">
        <v>9</v>
      </c>
      <c r="F106" s="20">
        <v>-37.67</v>
      </c>
      <c r="G106" s="20">
        <v>-37.67</v>
      </c>
      <c r="H106" s="20">
        <v>-37.67</v>
      </c>
      <c r="I106" s="20">
        <v>-47.86</v>
      </c>
      <c r="J106" s="20">
        <v>-47.86</v>
      </c>
      <c r="K106" s="20">
        <v>-47.86</v>
      </c>
      <c r="L106" s="20">
        <v>-47.86</v>
      </c>
      <c r="M106" s="20">
        <v>-47.86</v>
      </c>
      <c r="N106" s="20">
        <v>-47.86</v>
      </c>
    </row>
    <row r="107" spans="2:14" s="2" customFormat="1" ht="12.95" hidden="1" customHeight="1">
      <c r="B107" s="22" t="s">
        <v>16</v>
      </c>
      <c r="C107" s="11">
        <f t="shared" si="13"/>
        <v>-86.03</v>
      </c>
      <c r="E107" s="22" t="s">
        <v>16</v>
      </c>
      <c r="F107" s="20">
        <v>-86.03</v>
      </c>
      <c r="G107" s="20">
        <v>-86.03</v>
      </c>
      <c r="H107" s="20">
        <v>-86.03</v>
      </c>
      <c r="I107" s="20">
        <v>-109.31</v>
      </c>
      <c r="J107" s="20">
        <v>-109.31</v>
      </c>
      <c r="K107" s="20">
        <v>-109.31</v>
      </c>
      <c r="L107" s="20">
        <v>-109.31</v>
      </c>
      <c r="M107" s="20">
        <v>-109.31</v>
      </c>
      <c r="N107" s="20">
        <v>-109.31</v>
      </c>
    </row>
    <row r="108" spans="2:14" hidden="1">
      <c r="B108" s="1" t="s">
        <v>18</v>
      </c>
      <c r="C108" s="11">
        <f t="shared" si="13"/>
        <v>33636.404399999999</v>
      </c>
      <c r="E108" s="32" t="s">
        <v>18</v>
      </c>
      <c r="F108" s="82">
        <f>((+F84+F88+F89+F90)*12)+(F86*INT($C$3/3)*12)+((F85+F88)*2)+((F89+F90)*0.78*2)+(F87*INT($C$3/3)*2)+(IF($C$6="s",(F99+12)+(F100*INT($C$3/3)*12),F98*12))+(IF($C$4="s",F101,0))+(((IF(INT($C$3/3)&lt;6,F91,0))+(IF(AND(INT($C$3/6)&gt;0,INT($C$3/6)&lt;2),F92,0))+(IF(AND(INT($C$3/6)&gt;1,INT($C$3/6)&lt;3),F92+F93,0))+(IF(AND(INT($C$3/6)&gt;2,INT($C$3/6)&lt;4),F92+F93+F94,0))+(IF(AND(INT($C$3/6)&gt;3,INT($C$3/6)&lt;5),F92+F93+F94+F95,0))+(IF(INT($C$3/6)&gt;4,F92+F93+F94+F95+F96,0)))*12)+(IF($C$7="s",F97*12,0))++(((IF(INT($C$3/3)&lt;6,F91,0))+(IF(AND(INT($C$3/6)&gt;0,INT($C$3/6)&lt;2),F92,0))+(IF(AND(INT($C$3/6)&gt;1,INT($C$3/6)&lt;3),F92+F93,0))+(IF(AND(INT($C$3/6)&gt;2,INT($C$3/6)&lt;4),F92+F93+F94,0))+(IF(AND(INT($C$3/6)&gt;3,INT($C$3/6)&lt;5),F92+F93+F94+F95,0))+(IF(INT($C$3/6)&gt;4,F92+F93+F94+F95+F96,0)))*2*0.78)+(F102*12)+(F103*2)</f>
        <v>33636.404399999999</v>
      </c>
      <c r="G108" s="82">
        <f t="shared" ref="G108:N108" si="21">((+G84+G88+G89+G90)*12)+(G86*INT($C$3/3)*12)+((G85+G88)*2)+((G89+G90)*0.78*2)+(G87*INT($C$3/3)*2)+(IF($C$6="s",(G99+12)+(G100*INT($C$3/3)*12),G98*12))+(IF($C$4="s",G101,0))+(((IF(INT($C$3/3)&lt;6,G91,0))+(IF(AND(INT($C$3/6)&gt;0,INT($C$3/6)&lt;2),G92,0))+(IF(AND(INT($C$3/6)&gt;1,INT($C$3/6)&lt;3),G92+G93,0))+(IF(AND(INT($C$3/6)&gt;2,INT($C$3/6)&lt;4),G92+G93+G94,0))+(IF(AND(INT($C$3/6)&gt;3,INT($C$3/6)&lt;5),G92+G93+G94+G95,0))+(IF(INT($C$3/6)&gt;4,G92+G93+G94+G95+G96,0)))*12)+(IF($C$7="s",G97*12,0))++(((IF(INT($C$3/3)&lt;6,G91,0))+(IF(AND(INT($C$3/6)&gt;0,INT($C$3/6)&lt;2),G92,0))+(IF(AND(INT($C$3/6)&gt;1,INT($C$3/6)&lt;3),G92+G93,0))+(IF(AND(INT($C$3/6)&gt;2,INT($C$3/6)&lt;4),G92+G93+G94,0))+(IF(AND(INT($C$3/6)&gt;3,INT($C$3/6)&lt;5),G92+G93+G94+G95,0))+(IF(INT($C$3/6)&gt;4,G92+G93+G94+G95+G96,0)))*2*0.78)+(G102*12)+(G103*2)</f>
        <v>35203.606400000004</v>
      </c>
      <c r="H108" s="82">
        <f t="shared" si="21"/>
        <v>35203.606400000004</v>
      </c>
      <c r="I108" s="82">
        <f t="shared" si="21"/>
        <v>37621.415200000003</v>
      </c>
      <c r="J108" s="82">
        <f t="shared" si="21"/>
        <v>37621.415200000003</v>
      </c>
      <c r="K108" s="82">
        <f t="shared" si="21"/>
        <v>37621.415200000003</v>
      </c>
      <c r="L108" s="82">
        <f t="shared" si="21"/>
        <v>37621.415200000003</v>
      </c>
      <c r="M108" s="82">
        <f t="shared" si="21"/>
        <v>38333.857600000003</v>
      </c>
      <c r="N108" s="82">
        <f t="shared" si="21"/>
        <v>38838.967600000004</v>
      </c>
    </row>
    <row r="109" spans="2:14" hidden="1"/>
    <row r="110" spans="2:14" hidden="1"/>
    <row r="111" spans="2:14" hidden="1"/>
    <row r="112" spans="2:14" hidden="1"/>
    <row r="113" spans="2:14" hidden="1"/>
    <row r="114" spans="2:14" hidden="1"/>
    <row r="115" spans="2:14" s="2" customFormat="1" ht="12.95" hidden="1" customHeight="1">
      <c r="B115" s="3"/>
      <c r="C115" s="2" t="str">
        <f>+E116</f>
        <v>Asturias</v>
      </c>
    </row>
    <row r="116" spans="2:14" s="2" customFormat="1" ht="35.25" hidden="1" customHeight="1">
      <c r="C116" s="7" t="str">
        <f>+$C$11</f>
        <v>597-Maestros</v>
      </c>
      <c r="E116" s="15" t="s">
        <v>37</v>
      </c>
      <c r="F116" s="6" t="s">
        <v>60</v>
      </c>
      <c r="G116" s="6" t="s">
        <v>55</v>
      </c>
      <c r="H116" s="6" t="s">
        <v>59</v>
      </c>
      <c r="I116" s="6" t="s">
        <v>54</v>
      </c>
      <c r="J116" s="6" t="s">
        <v>56</v>
      </c>
      <c r="K116" s="6" t="s">
        <v>57</v>
      </c>
      <c r="L116" s="6" t="s">
        <v>58</v>
      </c>
      <c r="M116" s="6" t="s">
        <v>53</v>
      </c>
      <c r="N116" s="6" t="s">
        <v>52</v>
      </c>
    </row>
    <row r="117" spans="2:14" s="2" customFormat="1" ht="12.95" hidden="1" customHeight="1">
      <c r="B117" s="12" t="s">
        <v>1</v>
      </c>
      <c r="C117" s="11" t="str">
        <f t="shared" ref="C117:C143" si="22">IF($C$11=$F$11,F117,IF($C$11=G$11,G117,IF($C$11=H$11,H117,IF($C$11=I$11,I117,IF($C$11=J$11,J117,IF($C$11=K$11,K117,IF($C$11=L$11,L117,IF($C$11=M$11,M117,N117))))))))</f>
        <v>A2</v>
      </c>
      <c r="E117" s="5" t="s">
        <v>1</v>
      </c>
      <c r="F117" s="4" t="s">
        <v>61</v>
      </c>
      <c r="G117" s="4" t="s">
        <v>61</v>
      </c>
      <c r="H117" s="4" t="s">
        <v>61</v>
      </c>
      <c r="I117" s="4" t="s">
        <v>17</v>
      </c>
      <c r="J117" s="4" t="s">
        <v>17</v>
      </c>
      <c r="K117" s="4" t="s">
        <v>17</v>
      </c>
      <c r="L117" s="4" t="s">
        <v>17</v>
      </c>
      <c r="M117" s="4" t="s">
        <v>17</v>
      </c>
      <c r="N117" s="4" t="s">
        <v>17</v>
      </c>
    </row>
    <row r="118" spans="2:14" s="2" customFormat="1" ht="12.95" hidden="1" customHeight="1">
      <c r="B118" s="12" t="str">
        <f>+E118</f>
        <v>Nivel</v>
      </c>
      <c r="C118" s="11">
        <f t="shared" si="22"/>
        <v>21</v>
      </c>
      <c r="E118" s="5" t="s">
        <v>0</v>
      </c>
      <c r="F118" s="4">
        <v>21</v>
      </c>
      <c r="G118" s="4">
        <v>24</v>
      </c>
      <c r="H118" s="4">
        <v>24</v>
      </c>
      <c r="I118" s="4">
        <v>24</v>
      </c>
      <c r="J118" s="4">
        <v>24</v>
      </c>
      <c r="K118" s="4">
        <v>24</v>
      </c>
      <c r="L118" s="4">
        <v>24</v>
      </c>
      <c r="M118" s="4">
        <v>26</v>
      </c>
      <c r="N118" s="4">
        <v>26</v>
      </c>
    </row>
    <row r="119" spans="2:14" s="2" customFormat="1" ht="12.95" hidden="1" customHeight="1">
      <c r="B119" s="13" t="s">
        <v>2</v>
      </c>
      <c r="C119" s="11">
        <f t="shared" si="22"/>
        <v>958.98</v>
      </c>
      <c r="E119" s="13" t="s">
        <v>2</v>
      </c>
      <c r="F119" s="14">
        <v>958.98</v>
      </c>
      <c r="G119" s="14">
        <v>958.98</v>
      </c>
      <c r="H119" s="14">
        <v>958.98</v>
      </c>
      <c r="I119" s="14">
        <v>1109.0999999999999</v>
      </c>
      <c r="J119" s="14">
        <f>+I119</f>
        <v>1109.0999999999999</v>
      </c>
      <c r="K119" s="14">
        <f>+J119</f>
        <v>1109.0999999999999</v>
      </c>
      <c r="L119" s="14">
        <f>+K119</f>
        <v>1109.0999999999999</v>
      </c>
      <c r="M119" s="14">
        <f>+L119</f>
        <v>1109.0999999999999</v>
      </c>
      <c r="N119" s="14">
        <f>+M119</f>
        <v>1109.0999999999999</v>
      </c>
    </row>
    <row r="120" spans="2:14" s="2" customFormat="1" ht="12.95" hidden="1" customHeight="1">
      <c r="B120" s="13" t="s">
        <v>64</v>
      </c>
      <c r="C120" s="11">
        <f t="shared" si="22"/>
        <v>699.38</v>
      </c>
      <c r="E120" s="13" t="s">
        <v>64</v>
      </c>
      <c r="F120" s="19">
        <v>699.38</v>
      </c>
      <c r="G120" s="19">
        <v>699.38</v>
      </c>
      <c r="H120" s="19">
        <v>699.38</v>
      </c>
      <c r="I120" s="19">
        <v>684.36</v>
      </c>
      <c r="J120" s="14">
        <f t="shared" ref="J120:N124" si="23">+I120</f>
        <v>684.36</v>
      </c>
      <c r="K120" s="14">
        <f t="shared" si="23"/>
        <v>684.36</v>
      </c>
      <c r="L120" s="14">
        <f t="shared" si="23"/>
        <v>684.36</v>
      </c>
      <c r="M120" s="14">
        <f t="shared" si="23"/>
        <v>684.36</v>
      </c>
      <c r="N120" s="14">
        <f t="shared" si="23"/>
        <v>684.36</v>
      </c>
    </row>
    <row r="121" spans="2:14" s="2" customFormat="1" ht="12.95" hidden="1" customHeight="1">
      <c r="B121" s="13" t="s">
        <v>3</v>
      </c>
      <c r="C121" s="11">
        <f t="shared" si="22"/>
        <v>34.770000000000003</v>
      </c>
      <c r="E121" s="13" t="s">
        <v>3</v>
      </c>
      <c r="F121" s="14">
        <v>34.770000000000003</v>
      </c>
      <c r="G121" s="14">
        <v>34.770000000000003</v>
      </c>
      <c r="H121" s="14">
        <v>34.770000000000003</v>
      </c>
      <c r="I121" s="14">
        <v>42.65</v>
      </c>
      <c r="J121" s="14">
        <f t="shared" si="23"/>
        <v>42.65</v>
      </c>
      <c r="K121" s="14">
        <f t="shared" si="23"/>
        <v>42.65</v>
      </c>
      <c r="L121" s="14">
        <f t="shared" si="23"/>
        <v>42.65</v>
      </c>
      <c r="M121" s="14">
        <f t="shared" si="23"/>
        <v>42.65</v>
      </c>
      <c r="N121" s="14">
        <f t="shared" si="23"/>
        <v>42.65</v>
      </c>
    </row>
    <row r="122" spans="2:14" s="2" customFormat="1" ht="12.95" hidden="1" customHeight="1">
      <c r="B122" s="13" t="s">
        <v>65</v>
      </c>
      <c r="C122" s="11">
        <f t="shared" si="22"/>
        <v>25.35</v>
      </c>
      <c r="E122" s="13" t="s">
        <v>65</v>
      </c>
      <c r="F122" s="19">
        <v>25.35</v>
      </c>
      <c r="G122" s="19">
        <v>25.35</v>
      </c>
      <c r="H122" s="19">
        <v>25.35</v>
      </c>
      <c r="I122" s="19">
        <v>26.31</v>
      </c>
      <c r="J122" s="14">
        <f t="shared" si="23"/>
        <v>26.31</v>
      </c>
      <c r="K122" s="14">
        <f t="shared" si="23"/>
        <v>26.31</v>
      </c>
      <c r="L122" s="14">
        <f t="shared" si="23"/>
        <v>26.31</v>
      </c>
      <c r="M122" s="14">
        <f t="shared" si="23"/>
        <v>26.31</v>
      </c>
      <c r="N122" s="14">
        <f t="shared" si="23"/>
        <v>26.31</v>
      </c>
    </row>
    <row r="123" spans="2:14" s="2" customFormat="1" ht="12.95" hidden="1" customHeight="1">
      <c r="B123" s="13" t="s">
        <v>4</v>
      </c>
      <c r="C123" s="11">
        <f t="shared" si="22"/>
        <v>480.07</v>
      </c>
      <c r="E123" s="13" t="s">
        <v>4</v>
      </c>
      <c r="F123" s="14">
        <v>480.07</v>
      </c>
      <c r="G123" s="14">
        <v>591.20000000000005</v>
      </c>
      <c r="H123" s="14">
        <v>590.97</v>
      </c>
      <c r="I123" s="14">
        <v>591.20000000000005</v>
      </c>
      <c r="J123" s="14">
        <f t="shared" si="23"/>
        <v>591.20000000000005</v>
      </c>
      <c r="K123" s="14">
        <f t="shared" si="23"/>
        <v>591.20000000000005</v>
      </c>
      <c r="L123" s="14">
        <f t="shared" si="23"/>
        <v>591.20000000000005</v>
      </c>
      <c r="M123" s="14">
        <f t="shared" si="23"/>
        <v>591.20000000000005</v>
      </c>
      <c r="N123" s="14">
        <f t="shared" si="23"/>
        <v>591.20000000000005</v>
      </c>
    </row>
    <row r="124" spans="2:14" s="2" customFormat="1" ht="12.95" hidden="1" customHeight="1">
      <c r="B124" s="13" t="s">
        <v>5</v>
      </c>
      <c r="C124" s="11">
        <f t="shared" si="22"/>
        <v>488.33</v>
      </c>
      <c r="E124" s="13" t="s">
        <v>5</v>
      </c>
      <c r="F124" s="14">
        <v>488.33</v>
      </c>
      <c r="G124" s="14">
        <v>488.33</v>
      </c>
      <c r="H124" s="14">
        <f>+G124</f>
        <v>488.33</v>
      </c>
      <c r="I124" s="14">
        <f t="shared" ref="I124" si="24">+H124</f>
        <v>488.33</v>
      </c>
      <c r="J124" s="14">
        <f t="shared" si="23"/>
        <v>488.33</v>
      </c>
      <c r="K124" s="14">
        <f t="shared" si="23"/>
        <v>488.33</v>
      </c>
      <c r="L124" s="14">
        <f t="shared" si="23"/>
        <v>488.33</v>
      </c>
      <c r="M124" s="14">
        <f t="shared" si="23"/>
        <v>488.33</v>
      </c>
      <c r="N124" s="14">
        <f t="shared" si="23"/>
        <v>488.33</v>
      </c>
    </row>
    <row r="125" spans="2:14" s="2" customFormat="1" ht="12.95" hidden="1" customHeight="1">
      <c r="B125" s="27" t="s">
        <v>66</v>
      </c>
      <c r="C125" s="11">
        <f t="shared" si="22"/>
        <v>132.18</v>
      </c>
      <c r="E125" s="27" t="s">
        <v>66</v>
      </c>
      <c r="F125" s="14">
        <v>132.18</v>
      </c>
      <c r="G125" s="14">
        <v>132.18</v>
      </c>
      <c r="H125" s="14">
        <f t="shared" ref="H125:N126" si="25">+G125</f>
        <v>132.18</v>
      </c>
      <c r="I125" s="14">
        <v>206.53</v>
      </c>
      <c r="J125" s="14">
        <f t="shared" si="25"/>
        <v>206.53</v>
      </c>
      <c r="K125" s="14">
        <f t="shared" si="25"/>
        <v>206.53</v>
      </c>
      <c r="L125" s="14">
        <f t="shared" si="25"/>
        <v>206.53</v>
      </c>
      <c r="M125" s="14">
        <f t="shared" si="25"/>
        <v>206.53</v>
      </c>
      <c r="N125" s="14">
        <f t="shared" si="25"/>
        <v>206.53</v>
      </c>
    </row>
    <row r="126" spans="2:14" s="2" customFormat="1" ht="12.95" hidden="1" customHeight="1">
      <c r="B126" s="27" t="s">
        <v>80</v>
      </c>
      <c r="C126" s="11">
        <f t="shared" si="22"/>
        <v>35.200000000000003</v>
      </c>
      <c r="E126" s="27" t="s">
        <v>80</v>
      </c>
      <c r="F126" s="14">
        <v>35.200000000000003</v>
      </c>
      <c r="G126" s="14">
        <v>35.200000000000003</v>
      </c>
      <c r="H126" s="14">
        <f t="shared" si="25"/>
        <v>35.200000000000003</v>
      </c>
      <c r="I126" s="14">
        <f t="shared" si="25"/>
        <v>35.200000000000003</v>
      </c>
      <c r="J126" s="14">
        <f t="shared" si="25"/>
        <v>35.200000000000003</v>
      </c>
      <c r="K126" s="14">
        <f t="shared" si="25"/>
        <v>35.200000000000003</v>
      </c>
      <c r="L126" s="14">
        <f t="shared" si="25"/>
        <v>35.200000000000003</v>
      </c>
      <c r="M126" s="14">
        <f t="shared" si="25"/>
        <v>35.200000000000003</v>
      </c>
      <c r="N126" s="14">
        <f t="shared" si="25"/>
        <v>35.200000000000003</v>
      </c>
    </row>
    <row r="127" spans="2:14" s="2" customFormat="1" ht="12.95" hidden="1" customHeight="1">
      <c r="B127" s="27" t="s">
        <v>26</v>
      </c>
      <c r="C127" s="11">
        <f t="shared" si="22"/>
        <v>96.47</v>
      </c>
      <c r="E127" s="27" t="s">
        <v>26</v>
      </c>
      <c r="F127" s="23">
        <v>96.47</v>
      </c>
      <c r="G127" s="14">
        <f>+F127</f>
        <v>96.47</v>
      </c>
      <c r="H127" s="14">
        <f t="shared" ref="H127:N127" si="26">+G127</f>
        <v>96.47</v>
      </c>
      <c r="I127" s="14">
        <f t="shared" si="26"/>
        <v>96.47</v>
      </c>
      <c r="J127" s="14">
        <f t="shared" si="26"/>
        <v>96.47</v>
      </c>
      <c r="K127" s="14">
        <f t="shared" si="26"/>
        <v>96.47</v>
      </c>
      <c r="L127" s="14">
        <f t="shared" si="26"/>
        <v>96.47</v>
      </c>
      <c r="M127" s="14">
        <f t="shared" si="26"/>
        <v>96.47</v>
      </c>
      <c r="N127" s="14">
        <f t="shared" si="26"/>
        <v>96.47</v>
      </c>
    </row>
    <row r="128" spans="2:14" s="2" customFormat="1" ht="12.95" hidden="1" customHeight="1">
      <c r="B128" s="27" t="s">
        <v>27</v>
      </c>
      <c r="C128" s="11">
        <f t="shared" si="22"/>
        <v>70.97</v>
      </c>
      <c r="E128" s="27" t="s">
        <v>27</v>
      </c>
      <c r="F128" s="23">
        <v>70.97</v>
      </c>
      <c r="G128" s="14">
        <f t="shared" ref="G128:N128" si="27">+F128</f>
        <v>70.97</v>
      </c>
      <c r="H128" s="14">
        <f t="shared" si="27"/>
        <v>70.97</v>
      </c>
      <c r="I128" s="14">
        <f t="shared" si="27"/>
        <v>70.97</v>
      </c>
      <c r="J128" s="14">
        <f t="shared" si="27"/>
        <v>70.97</v>
      </c>
      <c r="K128" s="14">
        <f t="shared" si="27"/>
        <v>70.97</v>
      </c>
      <c r="L128" s="14">
        <f t="shared" si="27"/>
        <v>70.97</v>
      </c>
      <c r="M128" s="14">
        <f t="shared" si="27"/>
        <v>70.97</v>
      </c>
      <c r="N128" s="14">
        <f t="shared" si="27"/>
        <v>70.97</v>
      </c>
    </row>
    <row r="129" spans="2:14" s="2" customFormat="1" ht="12.95" hidden="1" customHeight="1">
      <c r="B129" s="27" t="s">
        <v>28</v>
      </c>
      <c r="C129" s="11">
        <f t="shared" si="22"/>
        <v>94.61</v>
      </c>
      <c r="E129" s="27" t="s">
        <v>28</v>
      </c>
      <c r="F129" s="23">
        <v>94.61</v>
      </c>
      <c r="G129" s="14">
        <f t="shared" ref="G129:N129" si="28">+F129</f>
        <v>94.61</v>
      </c>
      <c r="H129" s="14">
        <f t="shared" si="28"/>
        <v>94.61</v>
      </c>
      <c r="I129" s="14">
        <f t="shared" si="28"/>
        <v>94.61</v>
      </c>
      <c r="J129" s="14">
        <f t="shared" si="28"/>
        <v>94.61</v>
      </c>
      <c r="K129" s="14">
        <f t="shared" si="28"/>
        <v>94.61</v>
      </c>
      <c r="L129" s="14">
        <f t="shared" si="28"/>
        <v>94.61</v>
      </c>
      <c r="M129" s="14">
        <f t="shared" si="28"/>
        <v>94.61</v>
      </c>
      <c r="N129" s="14">
        <f t="shared" si="28"/>
        <v>94.61</v>
      </c>
    </row>
    <row r="130" spans="2:14" s="2" customFormat="1" ht="12.95" hidden="1" customHeight="1">
      <c r="B130" s="27" t="s">
        <v>29</v>
      </c>
      <c r="C130" s="11">
        <f t="shared" si="22"/>
        <v>129.51</v>
      </c>
      <c r="E130" s="27" t="s">
        <v>29</v>
      </c>
      <c r="F130" s="23">
        <v>129.51</v>
      </c>
      <c r="G130" s="14">
        <f t="shared" ref="G130:N130" si="29">+F130</f>
        <v>129.51</v>
      </c>
      <c r="H130" s="14">
        <f t="shared" si="29"/>
        <v>129.51</v>
      </c>
      <c r="I130" s="14">
        <f t="shared" si="29"/>
        <v>129.51</v>
      </c>
      <c r="J130" s="14">
        <f t="shared" si="29"/>
        <v>129.51</v>
      </c>
      <c r="K130" s="14">
        <f t="shared" si="29"/>
        <v>129.51</v>
      </c>
      <c r="L130" s="14">
        <f t="shared" si="29"/>
        <v>129.51</v>
      </c>
      <c r="M130" s="14">
        <f t="shared" si="29"/>
        <v>129.51</v>
      </c>
      <c r="N130" s="14">
        <f t="shared" si="29"/>
        <v>129.51</v>
      </c>
    </row>
    <row r="131" spans="2:14" s="2" customFormat="1" ht="12.95" hidden="1" customHeight="1">
      <c r="B131" s="27" t="s">
        <v>30</v>
      </c>
      <c r="C131" s="11">
        <f t="shared" si="22"/>
        <v>38.1</v>
      </c>
      <c r="E131" s="27" t="s">
        <v>30</v>
      </c>
      <c r="F131" s="23">
        <v>38.1</v>
      </c>
      <c r="G131" s="14">
        <f t="shared" ref="G131:N131" si="30">+F131</f>
        <v>38.1</v>
      </c>
      <c r="H131" s="14">
        <f t="shared" si="30"/>
        <v>38.1</v>
      </c>
      <c r="I131" s="14">
        <f t="shared" si="30"/>
        <v>38.1</v>
      </c>
      <c r="J131" s="14">
        <f t="shared" si="30"/>
        <v>38.1</v>
      </c>
      <c r="K131" s="14">
        <f t="shared" si="30"/>
        <v>38.1</v>
      </c>
      <c r="L131" s="14">
        <f t="shared" si="30"/>
        <v>38.1</v>
      </c>
      <c r="M131" s="14">
        <f t="shared" si="30"/>
        <v>38.1</v>
      </c>
      <c r="N131" s="14">
        <f t="shared" si="30"/>
        <v>38.1</v>
      </c>
    </row>
    <row r="132" spans="2:14" s="2" customFormat="1" ht="12.95" hidden="1" customHeight="1">
      <c r="B132" s="27" t="s">
        <v>32</v>
      </c>
      <c r="C132" s="11">
        <f t="shared" si="22"/>
        <v>0</v>
      </c>
      <c r="E132" s="27" t="s">
        <v>32</v>
      </c>
      <c r="F132" s="14"/>
      <c r="G132" s="14">
        <f t="shared" ref="G132:N132" si="31">+F132</f>
        <v>0</v>
      </c>
      <c r="H132" s="14">
        <f t="shared" si="31"/>
        <v>0</v>
      </c>
      <c r="I132" s="14">
        <f t="shared" si="31"/>
        <v>0</v>
      </c>
      <c r="J132" s="14">
        <f t="shared" si="31"/>
        <v>0</v>
      </c>
      <c r="K132" s="14">
        <f t="shared" si="31"/>
        <v>0</v>
      </c>
      <c r="L132" s="14">
        <f t="shared" si="31"/>
        <v>0</v>
      </c>
      <c r="M132" s="14">
        <f t="shared" si="31"/>
        <v>0</v>
      </c>
      <c r="N132" s="14">
        <f t="shared" si="31"/>
        <v>0</v>
      </c>
    </row>
    <row r="133" spans="2:14" s="2" customFormat="1" ht="12.95" hidden="1" customHeight="1">
      <c r="B133" s="28" t="s">
        <v>6</v>
      </c>
      <c r="C133" s="11">
        <f t="shared" si="22"/>
        <v>0</v>
      </c>
      <c r="E133" s="28" t="s">
        <v>6</v>
      </c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2:14" s="2" customFormat="1" ht="12.95" hidden="1" customHeight="1">
      <c r="B134" s="28" t="s">
        <v>7</v>
      </c>
      <c r="C134" s="11">
        <f t="shared" si="22"/>
        <v>0</v>
      </c>
      <c r="E134" s="28" t="s">
        <v>7</v>
      </c>
      <c r="F134" s="14"/>
      <c r="G134" s="14"/>
      <c r="H134" s="14"/>
      <c r="I134" s="14"/>
      <c r="J134" s="14"/>
      <c r="K134" s="14"/>
      <c r="L134" s="14"/>
      <c r="M134" s="14"/>
      <c r="N134" s="14"/>
    </row>
    <row r="135" spans="2:14" s="2" customFormat="1" ht="12.95" hidden="1" customHeight="1">
      <c r="B135" s="28" t="s">
        <v>8</v>
      </c>
      <c r="C135" s="11">
        <f t="shared" si="22"/>
        <v>0</v>
      </c>
      <c r="E135" s="28" t="s">
        <v>8</v>
      </c>
      <c r="F135" s="14"/>
      <c r="G135" s="14"/>
      <c r="H135" s="14"/>
      <c r="I135" s="14"/>
      <c r="J135" s="14"/>
      <c r="K135" s="14"/>
      <c r="L135" s="14"/>
      <c r="M135" s="14"/>
      <c r="N135" s="14"/>
    </row>
    <row r="136" spans="2:14" s="2" customFormat="1" ht="12.95" hidden="1" customHeight="1">
      <c r="B136" s="29" t="s">
        <v>77</v>
      </c>
      <c r="C136" s="11">
        <f t="shared" si="22"/>
        <v>0</v>
      </c>
      <c r="E136" s="29" t="s">
        <v>77</v>
      </c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2:14" s="2" customFormat="1" ht="12.95" hidden="1" customHeight="1">
      <c r="B137" s="30" t="s">
        <v>81</v>
      </c>
      <c r="C137" s="11">
        <f t="shared" si="22"/>
        <v>0</v>
      </c>
      <c r="E137" s="30" t="s">
        <v>81</v>
      </c>
      <c r="F137" s="14"/>
      <c r="G137" s="14"/>
      <c r="H137" s="14"/>
      <c r="I137" s="14"/>
      <c r="J137" s="14"/>
      <c r="K137" s="14"/>
      <c r="L137" s="14"/>
      <c r="M137" s="14"/>
      <c r="N137" s="14"/>
    </row>
    <row r="138" spans="2:14" s="2" customFormat="1" ht="12.95" hidden="1" customHeight="1">
      <c r="B138" s="30" t="s">
        <v>78</v>
      </c>
      <c r="C138" s="11">
        <f t="shared" si="22"/>
        <v>0</v>
      </c>
      <c r="E138" s="30" t="s">
        <v>78</v>
      </c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2:14" s="2" customFormat="1" ht="12.95" hidden="1" customHeight="1">
      <c r="B139" s="30" t="s">
        <v>82</v>
      </c>
      <c r="C139" s="11">
        <f t="shared" si="22"/>
        <v>0</v>
      </c>
      <c r="E139" s="30" t="s">
        <v>82</v>
      </c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2:14" s="2" customFormat="1" ht="12.95" hidden="1" customHeight="1">
      <c r="B140" s="31" t="s">
        <v>79</v>
      </c>
      <c r="C140" s="11">
        <f t="shared" si="22"/>
        <v>0</v>
      </c>
      <c r="E140" s="31" t="s">
        <v>79</v>
      </c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2:14" s="2" customFormat="1" ht="12.95" hidden="1" customHeight="1">
      <c r="B141" s="22" t="s">
        <v>9</v>
      </c>
      <c r="C141" s="11">
        <f t="shared" si="22"/>
        <v>-37.67</v>
      </c>
      <c r="E141" s="22" t="s">
        <v>9</v>
      </c>
      <c r="F141" s="20">
        <v>-37.67</v>
      </c>
      <c r="G141" s="20">
        <v>-37.67</v>
      </c>
      <c r="H141" s="20">
        <v>-37.67</v>
      </c>
      <c r="I141" s="20">
        <v>-47.86</v>
      </c>
      <c r="J141" s="20">
        <v>-47.86</v>
      </c>
      <c r="K141" s="20">
        <v>-47.86</v>
      </c>
      <c r="L141" s="20">
        <v>-47.86</v>
      </c>
      <c r="M141" s="20">
        <v>-47.86</v>
      </c>
      <c r="N141" s="20">
        <v>-47.86</v>
      </c>
    </row>
    <row r="142" spans="2:14" s="2" customFormat="1" ht="12.95" hidden="1" customHeight="1">
      <c r="B142" s="22" t="s">
        <v>16</v>
      </c>
      <c r="C142" s="11">
        <f t="shared" si="22"/>
        <v>-86.03</v>
      </c>
      <c r="E142" s="22" t="s">
        <v>16</v>
      </c>
      <c r="F142" s="20">
        <v>-86.03</v>
      </c>
      <c r="G142" s="20">
        <v>-86.03</v>
      </c>
      <c r="H142" s="20">
        <v>-86.03</v>
      </c>
      <c r="I142" s="20">
        <v>-109.31</v>
      </c>
      <c r="J142" s="20">
        <v>-109.31</v>
      </c>
      <c r="K142" s="20">
        <v>-109.31</v>
      </c>
      <c r="L142" s="20">
        <v>-109.31</v>
      </c>
      <c r="M142" s="20">
        <v>-109.31</v>
      </c>
      <c r="N142" s="20">
        <v>-109.31</v>
      </c>
    </row>
    <row r="143" spans="2:14" hidden="1">
      <c r="B143" s="1" t="s">
        <v>18</v>
      </c>
      <c r="C143" s="11">
        <f t="shared" si="22"/>
        <v>34402.653600000005</v>
      </c>
      <c r="E143" s="32" t="s">
        <v>18</v>
      </c>
      <c r="F143" s="82">
        <f>((+F119+F123+F124+F125)*12)+(F121*INT($C$3/3)*12)+((F120+F123)*2)+((F124+F125)*0.78*2)+(F122*INT($C$3/3)*2)+(IF($C$6="s",(F134+12)+(F135*INT($C$3/3)*12),F133*12))+(IF($C$4="s",F136,0))+(((IF(INT($C$3/3)&lt;6,F126,0))+(IF(AND(INT($C$3/6)&gt;0,INT($C$3/6)&lt;2),F127,0))+(IF(AND(INT($C$3/6)&gt;1,INT($C$3/6)&lt;3),F127+F128,0))+(IF(AND(INT($C$3/6)&gt;2,INT($C$3/6)&lt;4),F127+F128+F129,0))+(IF(AND(INT($C$3/6)&gt;3,INT($C$3/6)&lt;5),F127+F128+F129+F130,0))+(IF(INT($C$3/6)&gt;4,F127+F128+F129+F130+F131,0)))*12)+(IF($C$7="s",F132*12,0))++(((IF(INT($C$3/3)&lt;6,F126,0))+(IF(AND(INT($C$3/6)&gt;0,INT($C$3/6)&lt;2),F127,0))+(IF(AND(INT($C$3/6)&gt;1,INT($C$3/6)&lt;3),F127+F128,0))+(IF(AND(INT($C$3/6)&gt;2,INT($C$3/6)&lt;4),F127+F128+F129,0))+(IF(AND(INT($C$3/6)&gt;3,INT($C$3/6)&lt;5),F127+F128+F129+F130,0))+(IF(INT($C$3/6)&gt;4,F127+F128+F129+F130+F131,0)))*2*0.78)+(F137*12)+(F138*2)</f>
        <v>34402.653600000005</v>
      </c>
      <c r="G143" s="82">
        <f t="shared" ref="G143:N143" si="32">((+G119+G123+G124+G125)*12)+(G121*INT($C$3/3)*12)+((G120+G123)*2)+((G124+G125)*0.78*2)+(G122*INT($C$3/3)*2)+(IF($C$6="s",(G134+12)+(G135*INT($C$3/3)*12),G133*12))+(IF($C$4="s",G136,0))+(((IF(INT($C$3/3)&lt;6,G126,0))+(IF(AND(INT($C$3/6)&gt;0,INT($C$3/6)&lt;2),G127,0))+(IF(AND(INT($C$3/6)&gt;1,INT($C$3/6)&lt;3),G127+G128,0))+(IF(AND(INT($C$3/6)&gt;2,INT($C$3/6)&lt;4),G127+G128+G129,0))+(IF(AND(INT($C$3/6)&gt;3,INT($C$3/6)&lt;5),G127+G128+G129+G130,0))+(IF(INT($C$3/6)&gt;4,G127+G128+G129+G130+G131,0)))*12)+(IF($C$7="s",G132*12,0))++(((IF(INT($C$3/3)&lt;6,G126,0))+(IF(AND(INT($C$3/6)&gt;0,INT($C$3/6)&lt;2),G127,0))+(IF(AND(INT($C$3/6)&gt;1,INT($C$3/6)&lt;3),G127+G128,0))+(IF(AND(INT($C$3/6)&gt;2,INT($C$3/6)&lt;4),G127+G128+G129,0))+(IF(AND(INT($C$3/6)&gt;3,INT($C$3/6)&lt;5),G127+G128+G129+G130,0))+(IF(INT($C$3/6)&gt;4,G127+G128+G129+G130+G131,0)))*2*0.78)+(G137*12)+(G138*2)</f>
        <v>35958.473599999998</v>
      </c>
      <c r="H143" s="82">
        <f t="shared" si="32"/>
        <v>35955.253600000004</v>
      </c>
      <c r="I143" s="82">
        <f t="shared" si="32"/>
        <v>39316.939600000005</v>
      </c>
      <c r="J143" s="82">
        <f t="shared" si="32"/>
        <v>39316.939600000005</v>
      </c>
      <c r="K143" s="82">
        <f t="shared" si="32"/>
        <v>39316.939600000005</v>
      </c>
      <c r="L143" s="82">
        <f t="shared" si="32"/>
        <v>39316.939600000005</v>
      </c>
      <c r="M143" s="82">
        <f t="shared" si="32"/>
        <v>39316.939600000005</v>
      </c>
      <c r="N143" s="82">
        <f t="shared" si="32"/>
        <v>39316.939600000005</v>
      </c>
    </row>
    <row r="144" spans="2:14" hidden="1"/>
    <row r="145" spans="2:14" hidden="1"/>
    <row r="146" spans="2:14" hidden="1"/>
    <row r="147" spans="2:14" hidden="1"/>
    <row r="148" spans="2:14" hidden="1"/>
    <row r="149" spans="2:14" hidden="1"/>
    <row r="150" spans="2:14" s="2" customFormat="1" ht="12.95" hidden="1" customHeight="1">
      <c r="B150" s="3"/>
      <c r="C150" s="2" t="str">
        <f>+E151</f>
        <v>Baleares</v>
      </c>
      <c r="E150" s="82"/>
    </row>
    <row r="151" spans="2:14" s="2" customFormat="1" ht="35.25" hidden="1" customHeight="1">
      <c r="C151" s="7" t="str">
        <f>+$C$11</f>
        <v>597-Maestros</v>
      </c>
      <c r="E151" s="15" t="s">
        <v>68</v>
      </c>
      <c r="F151" s="6" t="s">
        <v>60</v>
      </c>
      <c r="G151" s="6" t="s">
        <v>55</v>
      </c>
      <c r="H151" s="6" t="s">
        <v>59</v>
      </c>
      <c r="I151" s="6" t="s">
        <v>54</v>
      </c>
      <c r="J151" s="6" t="s">
        <v>56</v>
      </c>
      <c r="K151" s="6" t="s">
        <v>57</v>
      </c>
      <c r="L151" s="6" t="s">
        <v>58</v>
      </c>
      <c r="M151" s="6" t="s">
        <v>53</v>
      </c>
      <c r="N151" s="6" t="s">
        <v>52</v>
      </c>
    </row>
    <row r="152" spans="2:14" s="2" customFormat="1" ht="12.95" hidden="1" customHeight="1">
      <c r="B152" s="12" t="s">
        <v>1</v>
      </c>
      <c r="C152" s="11" t="str">
        <f t="shared" ref="C152:C178" si="33">IF($C$11=$F$11,F152,IF($C$11=G$11,G152,IF($C$11=H$11,H152,IF($C$11=I$11,I152,IF($C$11=J$11,J152,IF($C$11=K$11,K152,IF($C$11=L$11,L152,IF($C$11=M$11,M152,N152))))))))</f>
        <v>A2</v>
      </c>
      <c r="E152" s="5" t="s">
        <v>1</v>
      </c>
      <c r="F152" s="4" t="s">
        <v>61</v>
      </c>
      <c r="G152" s="4" t="s">
        <v>61</v>
      </c>
      <c r="H152" s="4" t="s">
        <v>61</v>
      </c>
      <c r="I152" s="4" t="s">
        <v>17</v>
      </c>
      <c r="J152" s="4" t="s">
        <v>17</v>
      </c>
      <c r="K152" s="4" t="s">
        <v>17</v>
      </c>
      <c r="L152" s="4" t="s">
        <v>17</v>
      </c>
      <c r="M152" s="4" t="s">
        <v>17</v>
      </c>
      <c r="N152" s="4" t="s">
        <v>17</v>
      </c>
    </row>
    <row r="153" spans="2:14" s="2" customFormat="1" ht="12.95" hidden="1" customHeight="1">
      <c r="B153" s="12" t="str">
        <f>+E153</f>
        <v>Nivel</v>
      </c>
      <c r="C153" s="11">
        <f t="shared" si="33"/>
        <v>21</v>
      </c>
      <c r="E153" s="5" t="s">
        <v>0</v>
      </c>
      <c r="F153" s="4">
        <v>21</v>
      </c>
      <c r="G153" s="4">
        <v>24</v>
      </c>
      <c r="H153" s="4">
        <v>24</v>
      </c>
      <c r="I153" s="4">
        <v>24</v>
      </c>
      <c r="J153" s="4">
        <v>24</v>
      </c>
      <c r="K153" s="4">
        <v>24</v>
      </c>
      <c r="L153" s="4">
        <v>24</v>
      </c>
      <c r="M153" s="4">
        <v>26</v>
      </c>
      <c r="N153" s="4">
        <v>26</v>
      </c>
    </row>
    <row r="154" spans="2:14" s="2" customFormat="1" ht="12.95" hidden="1" customHeight="1">
      <c r="B154" s="13" t="s">
        <v>2</v>
      </c>
      <c r="C154" s="11">
        <f t="shared" si="33"/>
        <v>958.98</v>
      </c>
      <c r="E154" s="13" t="s">
        <v>2</v>
      </c>
      <c r="F154" s="14">
        <v>958.98</v>
      </c>
      <c r="G154" s="14">
        <v>958.98</v>
      </c>
      <c r="H154" s="14">
        <v>958.98</v>
      </c>
      <c r="I154" s="14">
        <v>1109.0999999999999</v>
      </c>
      <c r="J154" s="14">
        <f t="shared" ref="J154:J161" si="34">+I154</f>
        <v>1109.0999999999999</v>
      </c>
      <c r="K154" s="14">
        <v>1109.0999999999999</v>
      </c>
      <c r="L154" s="14">
        <v>1109.0999999999999</v>
      </c>
      <c r="M154" s="14">
        <v>1109.0999999999999</v>
      </c>
      <c r="N154" s="14">
        <v>1109.0999999999999</v>
      </c>
    </row>
    <row r="155" spans="2:14" s="2" customFormat="1" ht="12.95" hidden="1" customHeight="1">
      <c r="B155" s="13" t="s">
        <v>64</v>
      </c>
      <c r="C155" s="11">
        <f t="shared" si="33"/>
        <v>699.38</v>
      </c>
      <c r="E155" s="13" t="s">
        <v>64</v>
      </c>
      <c r="F155" s="19">
        <v>699.38</v>
      </c>
      <c r="G155" s="19">
        <v>699.38</v>
      </c>
      <c r="H155" s="19">
        <v>699.38</v>
      </c>
      <c r="I155" s="19">
        <v>684.36</v>
      </c>
      <c r="J155" s="14">
        <f t="shared" si="34"/>
        <v>684.36</v>
      </c>
      <c r="K155" s="19">
        <v>684.36</v>
      </c>
      <c r="L155" s="19">
        <v>684.36</v>
      </c>
      <c r="M155" s="19">
        <v>684.36</v>
      </c>
      <c r="N155" s="19">
        <v>684.36</v>
      </c>
    </row>
    <row r="156" spans="2:14" s="2" customFormat="1" ht="12.95" hidden="1" customHeight="1">
      <c r="B156" s="13" t="s">
        <v>3</v>
      </c>
      <c r="C156" s="11">
        <f t="shared" si="33"/>
        <v>34.770000000000003</v>
      </c>
      <c r="E156" s="13" t="s">
        <v>3</v>
      </c>
      <c r="F156" s="14">
        <v>34.770000000000003</v>
      </c>
      <c r="G156" s="14">
        <v>34.770000000000003</v>
      </c>
      <c r="H156" s="14">
        <v>34.770000000000003</v>
      </c>
      <c r="I156" s="14">
        <v>42.65</v>
      </c>
      <c r="J156" s="14">
        <f t="shared" si="34"/>
        <v>42.65</v>
      </c>
      <c r="K156" s="14">
        <v>42.65</v>
      </c>
      <c r="L156" s="14">
        <v>42.65</v>
      </c>
      <c r="M156" s="14">
        <v>42.65</v>
      </c>
      <c r="N156" s="14">
        <v>42.65</v>
      </c>
    </row>
    <row r="157" spans="2:14" s="2" customFormat="1" ht="12.95" hidden="1" customHeight="1">
      <c r="B157" s="13" t="s">
        <v>65</v>
      </c>
      <c r="C157" s="11">
        <f t="shared" si="33"/>
        <v>25.35</v>
      </c>
      <c r="E157" s="13" t="s">
        <v>65</v>
      </c>
      <c r="F157" s="19">
        <v>25.35</v>
      </c>
      <c r="G157" s="19">
        <v>25.35</v>
      </c>
      <c r="H157" s="19">
        <v>25.35</v>
      </c>
      <c r="I157" s="19">
        <v>26.31</v>
      </c>
      <c r="J157" s="14">
        <f t="shared" si="34"/>
        <v>26.31</v>
      </c>
      <c r="K157" s="19">
        <v>26.31</v>
      </c>
      <c r="L157" s="19">
        <v>26.31</v>
      </c>
      <c r="M157" s="19">
        <v>26.31</v>
      </c>
      <c r="N157" s="19">
        <v>26.31</v>
      </c>
    </row>
    <row r="158" spans="2:14" s="2" customFormat="1" ht="12.95" hidden="1" customHeight="1">
      <c r="B158" s="13" t="s">
        <v>4</v>
      </c>
      <c r="C158" s="11">
        <f t="shared" si="33"/>
        <v>473.35</v>
      </c>
      <c r="E158" s="13" t="s">
        <v>4</v>
      </c>
      <c r="F158" s="14">
        <v>473.35</v>
      </c>
      <c r="G158" s="14">
        <v>582.91999999999996</v>
      </c>
      <c r="H158" s="14">
        <v>582.91999999999996</v>
      </c>
      <c r="I158" s="14">
        <v>590.97</v>
      </c>
      <c r="J158" s="14">
        <f t="shared" si="34"/>
        <v>590.97</v>
      </c>
      <c r="K158" s="14">
        <v>590.97</v>
      </c>
      <c r="L158" s="14">
        <v>590.97</v>
      </c>
      <c r="M158" s="14">
        <v>707.83</v>
      </c>
      <c r="N158" s="14">
        <v>707.83</v>
      </c>
    </row>
    <row r="159" spans="2:14" s="2" customFormat="1" ht="12.95" hidden="1" customHeight="1">
      <c r="B159" s="13" t="s">
        <v>5</v>
      </c>
      <c r="C159" s="11">
        <f t="shared" si="33"/>
        <v>232.72</v>
      </c>
      <c r="E159" s="13" t="s">
        <v>5</v>
      </c>
      <c r="F159" s="14">
        <v>232.72</v>
      </c>
      <c r="G159" s="14">
        <v>232.72</v>
      </c>
      <c r="H159" s="14">
        <v>232.72</v>
      </c>
      <c r="I159" s="14">
        <v>232.72</v>
      </c>
      <c r="J159" s="14">
        <f t="shared" si="34"/>
        <v>232.72</v>
      </c>
      <c r="K159" s="14">
        <f>+J159</f>
        <v>232.72</v>
      </c>
      <c r="L159" s="14">
        <f t="shared" ref="L159:N159" si="35">+K159</f>
        <v>232.72</v>
      </c>
      <c r="M159" s="14">
        <v>282.19</v>
      </c>
      <c r="N159" s="14">
        <f t="shared" si="35"/>
        <v>282.19</v>
      </c>
    </row>
    <row r="160" spans="2:14" s="2" customFormat="1" ht="12.95" hidden="1" customHeight="1">
      <c r="B160" s="27" t="s">
        <v>66</v>
      </c>
      <c r="C160" s="11">
        <f t="shared" si="33"/>
        <v>334.58</v>
      </c>
      <c r="E160" s="27" t="s">
        <v>66</v>
      </c>
      <c r="F160" s="14">
        <v>334.58</v>
      </c>
      <c r="G160" s="14">
        <v>334.58</v>
      </c>
      <c r="H160" s="14">
        <v>334.58</v>
      </c>
      <c r="I160" s="14">
        <f>+H160</f>
        <v>334.58</v>
      </c>
      <c r="J160" s="14">
        <f t="shared" si="34"/>
        <v>334.58</v>
      </c>
      <c r="K160" s="14">
        <f t="shared" ref="K160:N162" si="36">+J160</f>
        <v>334.58</v>
      </c>
      <c r="L160" s="14">
        <f t="shared" si="36"/>
        <v>334.58</v>
      </c>
      <c r="M160" s="14">
        <f t="shared" si="36"/>
        <v>334.58</v>
      </c>
      <c r="N160" s="14">
        <f t="shared" si="36"/>
        <v>334.58</v>
      </c>
    </row>
    <row r="161" spans="2:14" s="2" customFormat="1" ht="12.95" hidden="1" customHeight="1">
      <c r="B161" s="27" t="s">
        <v>80</v>
      </c>
      <c r="C161" s="11">
        <f t="shared" si="33"/>
        <v>13.980000000000018</v>
      </c>
      <c r="E161" s="27" t="s">
        <v>80</v>
      </c>
      <c r="F161" s="14">
        <f>348.56-334.58</f>
        <v>13.980000000000018</v>
      </c>
      <c r="G161" s="14">
        <f>348.56-334.58</f>
        <v>13.980000000000018</v>
      </c>
      <c r="H161" s="14">
        <f>348.56-334.58</f>
        <v>13.980000000000018</v>
      </c>
      <c r="I161" s="14">
        <f>+H161</f>
        <v>13.980000000000018</v>
      </c>
      <c r="J161" s="14">
        <f t="shared" si="34"/>
        <v>13.980000000000018</v>
      </c>
      <c r="K161" s="14">
        <f t="shared" si="36"/>
        <v>13.980000000000018</v>
      </c>
      <c r="L161" s="14">
        <f t="shared" si="36"/>
        <v>13.980000000000018</v>
      </c>
      <c r="M161" s="14">
        <f t="shared" si="36"/>
        <v>13.980000000000018</v>
      </c>
      <c r="N161" s="14">
        <f t="shared" si="36"/>
        <v>13.980000000000018</v>
      </c>
    </row>
    <row r="162" spans="2:14" s="2" customFormat="1" ht="12.95" hidden="1" customHeight="1">
      <c r="B162" s="27" t="s">
        <v>26</v>
      </c>
      <c r="C162" s="11">
        <f t="shared" si="33"/>
        <v>119.69999999999999</v>
      </c>
      <c r="E162" s="27" t="s">
        <v>26</v>
      </c>
      <c r="F162" s="85">
        <f>55.51+64.19</f>
        <v>119.69999999999999</v>
      </c>
      <c r="G162" s="21">
        <f>+F162</f>
        <v>119.69999999999999</v>
      </c>
      <c r="H162" s="21">
        <f>+G162</f>
        <v>119.69999999999999</v>
      </c>
      <c r="I162" s="14">
        <f>+H162</f>
        <v>119.69999999999999</v>
      </c>
      <c r="J162" s="14">
        <f>+I162</f>
        <v>119.69999999999999</v>
      </c>
      <c r="K162" s="14">
        <f t="shared" si="36"/>
        <v>119.69999999999999</v>
      </c>
      <c r="L162" s="14">
        <f t="shared" si="36"/>
        <v>119.69999999999999</v>
      </c>
      <c r="M162" s="14">
        <f t="shared" si="36"/>
        <v>119.69999999999999</v>
      </c>
      <c r="N162" s="14">
        <f t="shared" si="36"/>
        <v>119.69999999999999</v>
      </c>
    </row>
    <row r="163" spans="2:14" s="2" customFormat="1" ht="12.95" hidden="1" customHeight="1">
      <c r="B163" s="27" t="s">
        <v>27</v>
      </c>
      <c r="C163" s="11">
        <f t="shared" si="33"/>
        <v>105.95</v>
      </c>
      <c r="E163" s="27" t="s">
        <v>27</v>
      </c>
      <c r="F163" s="85">
        <f>70.03+35.92</f>
        <v>105.95</v>
      </c>
      <c r="G163" s="21">
        <f t="shared" ref="G163:H166" si="37">+F163</f>
        <v>105.95</v>
      </c>
      <c r="H163" s="21">
        <f t="shared" si="37"/>
        <v>105.95</v>
      </c>
      <c r="I163" s="14">
        <f t="shared" ref="I163:N163" si="38">+H163</f>
        <v>105.95</v>
      </c>
      <c r="J163" s="14">
        <f t="shared" si="38"/>
        <v>105.95</v>
      </c>
      <c r="K163" s="14">
        <f t="shared" si="38"/>
        <v>105.95</v>
      </c>
      <c r="L163" s="14">
        <f t="shared" si="38"/>
        <v>105.95</v>
      </c>
      <c r="M163" s="14">
        <f t="shared" si="38"/>
        <v>105.95</v>
      </c>
      <c r="N163" s="14">
        <f t="shared" si="38"/>
        <v>105.95</v>
      </c>
    </row>
    <row r="164" spans="2:14" s="2" customFormat="1" ht="12.95" hidden="1" customHeight="1">
      <c r="B164" s="27" t="s">
        <v>28</v>
      </c>
      <c r="C164" s="11">
        <f t="shared" si="33"/>
        <v>106.45</v>
      </c>
      <c r="E164" s="27" t="s">
        <v>28</v>
      </c>
      <c r="F164" s="85">
        <f>93.33+13.12</f>
        <v>106.45</v>
      </c>
      <c r="G164" s="21">
        <f t="shared" si="37"/>
        <v>106.45</v>
      </c>
      <c r="H164" s="21">
        <f t="shared" si="37"/>
        <v>106.45</v>
      </c>
      <c r="I164" s="14">
        <f t="shared" ref="I164:N164" si="39">+H164</f>
        <v>106.45</v>
      </c>
      <c r="J164" s="14">
        <f t="shared" si="39"/>
        <v>106.45</v>
      </c>
      <c r="K164" s="14">
        <f t="shared" si="39"/>
        <v>106.45</v>
      </c>
      <c r="L164" s="14">
        <f t="shared" si="39"/>
        <v>106.45</v>
      </c>
      <c r="M164" s="14">
        <f t="shared" si="39"/>
        <v>106.45</v>
      </c>
      <c r="N164" s="14">
        <f t="shared" si="39"/>
        <v>106.45</v>
      </c>
    </row>
    <row r="165" spans="2:14" s="2" customFormat="1" ht="12.95" hidden="1" customHeight="1">
      <c r="B165" s="27" t="s">
        <v>29</v>
      </c>
      <c r="C165" s="11">
        <f t="shared" si="33"/>
        <v>107</v>
      </c>
      <c r="E165" s="27" t="s">
        <v>29</v>
      </c>
      <c r="F165" s="85">
        <f>127.72-20.72</f>
        <v>107</v>
      </c>
      <c r="G165" s="21">
        <f t="shared" si="37"/>
        <v>107</v>
      </c>
      <c r="H165" s="21">
        <f t="shared" si="37"/>
        <v>107</v>
      </c>
      <c r="I165" s="14">
        <f t="shared" ref="I165:N165" si="40">+H165</f>
        <v>107</v>
      </c>
      <c r="J165" s="14">
        <f t="shared" si="40"/>
        <v>107</v>
      </c>
      <c r="K165" s="14">
        <f t="shared" si="40"/>
        <v>107</v>
      </c>
      <c r="L165" s="14">
        <f t="shared" si="40"/>
        <v>107</v>
      </c>
      <c r="M165" s="14">
        <f t="shared" si="40"/>
        <v>107</v>
      </c>
      <c r="N165" s="14">
        <f t="shared" si="40"/>
        <v>107</v>
      </c>
    </row>
    <row r="166" spans="2:14" s="2" customFormat="1" ht="12.95" hidden="1" customHeight="1">
      <c r="B166" s="27" t="s">
        <v>30</v>
      </c>
      <c r="C166" s="11">
        <f t="shared" si="33"/>
        <v>105.4</v>
      </c>
      <c r="E166" s="27" t="s">
        <v>30</v>
      </c>
      <c r="F166" s="85">
        <f>37.6+67.8</f>
        <v>105.4</v>
      </c>
      <c r="G166" s="21">
        <f t="shared" si="37"/>
        <v>105.4</v>
      </c>
      <c r="H166" s="21">
        <f t="shared" si="37"/>
        <v>105.4</v>
      </c>
      <c r="I166" s="14">
        <f t="shared" ref="I166:N166" si="41">+H166</f>
        <v>105.4</v>
      </c>
      <c r="J166" s="14">
        <f t="shared" si="41"/>
        <v>105.4</v>
      </c>
      <c r="K166" s="14">
        <f t="shared" si="41"/>
        <v>105.4</v>
      </c>
      <c r="L166" s="14">
        <f t="shared" si="41"/>
        <v>105.4</v>
      </c>
      <c r="M166" s="14">
        <f t="shared" si="41"/>
        <v>105.4</v>
      </c>
      <c r="N166" s="14">
        <f t="shared" si="41"/>
        <v>105.4</v>
      </c>
    </row>
    <row r="167" spans="2:14" s="2" customFormat="1" ht="12.95" hidden="1" customHeight="1">
      <c r="B167" s="27" t="s">
        <v>32</v>
      </c>
      <c r="C167" s="11">
        <f t="shared" si="33"/>
        <v>0</v>
      </c>
      <c r="E167" s="27" t="s">
        <v>32</v>
      </c>
      <c r="F167" s="14"/>
      <c r="G167" s="14">
        <f t="shared" ref="G167:N167" si="42">+F167</f>
        <v>0</v>
      </c>
      <c r="H167" s="14">
        <f t="shared" si="42"/>
        <v>0</v>
      </c>
      <c r="I167" s="14">
        <f t="shared" si="42"/>
        <v>0</v>
      </c>
      <c r="J167" s="14">
        <f t="shared" si="42"/>
        <v>0</v>
      </c>
      <c r="K167" s="14">
        <f t="shared" si="42"/>
        <v>0</v>
      </c>
      <c r="L167" s="14">
        <f t="shared" si="42"/>
        <v>0</v>
      </c>
      <c r="M167" s="14">
        <f t="shared" si="42"/>
        <v>0</v>
      </c>
      <c r="N167" s="14">
        <f t="shared" si="42"/>
        <v>0</v>
      </c>
    </row>
    <row r="168" spans="2:14" s="2" customFormat="1" ht="12.95" hidden="1" customHeight="1">
      <c r="B168" s="28" t="s">
        <v>6</v>
      </c>
      <c r="C168" s="11">
        <f t="shared" si="33"/>
        <v>73.92</v>
      </c>
      <c r="E168" s="28" t="s">
        <v>6</v>
      </c>
      <c r="F168" s="14">
        <v>73.92</v>
      </c>
      <c r="G168" s="14">
        <v>73.92</v>
      </c>
      <c r="H168" s="14">
        <v>73.92</v>
      </c>
      <c r="I168" s="14">
        <v>91.93</v>
      </c>
      <c r="J168" s="14">
        <f t="shared" ref="J168:N172" si="43">+I168</f>
        <v>91.93</v>
      </c>
      <c r="K168" s="14">
        <f t="shared" si="43"/>
        <v>91.93</v>
      </c>
      <c r="L168" s="14">
        <f t="shared" si="43"/>
        <v>91.93</v>
      </c>
      <c r="M168" s="14">
        <f t="shared" si="43"/>
        <v>91.93</v>
      </c>
      <c r="N168" s="14">
        <f t="shared" si="43"/>
        <v>91.93</v>
      </c>
    </row>
    <row r="169" spans="2:14" s="2" customFormat="1" ht="12.95" hidden="1" customHeight="1">
      <c r="B169" s="28" t="s">
        <v>7</v>
      </c>
      <c r="C169" s="11">
        <f t="shared" si="33"/>
        <v>88.7</v>
      </c>
      <c r="E169" s="28" t="s">
        <v>7</v>
      </c>
      <c r="F169" s="14">
        <v>88.7</v>
      </c>
      <c r="G169" s="14">
        <v>88.7</v>
      </c>
      <c r="H169" s="14">
        <v>88.7</v>
      </c>
      <c r="I169" s="14">
        <v>101.78</v>
      </c>
      <c r="J169" s="14">
        <f t="shared" si="43"/>
        <v>101.78</v>
      </c>
      <c r="K169" s="14">
        <f t="shared" si="43"/>
        <v>101.78</v>
      </c>
      <c r="L169" s="14">
        <f t="shared" si="43"/>
        <v>101.78</v>
      </c>
      <c r="M169" s="14">
        <f t="shared" si="43"/>
        <v>101.78</v>
      </c>
      <c r="N169" s="14">
        <f t="shared" si="43"/>
        <v>101.78</v>
      </c>
    </row>
    <row r="170" spans="2:14" s="2" customFormat="1" ht="12.95" hidden="1" customHeight="1">
      <c r="B170" s="28" t="s">
        <v>8</v>
      </c>
      <c r="C170" s="11">
        <f t="shared" si="33"/>
        <v>0</v>
      </c>
      <c r="E170" s="28" t="s">
        <v>8</v>
      </c>
      <c r="F170" s="14"/>
      <c r="G170" s="14"/>
      <c r="H170" s="14"/>
      <c r="I170" s="14">
        <f>+H170</f>
        <v>0</v>
      </c>
      <c r="J170" s="14">
        <f t="shared" si="43"/>
        <v>0</v>
      </c>
      <c r="K170" s="14">
        <f t="shared" si="43"/>
        <v>0</v>
      </c>
      <c r="L170" s="14">
        <f t="shared" si="43"/>
        <v>0</v>
      </c>
      <c r="M170" s="14">
        <f t="shared" si="43"/>
        <v>0</v>
      </c>
      <c r="N170" s="14">
        <f t="shared" si="43"/>
        <v>0</v>
      </c>
    </row>
    <row r="171" spans="2:14" s="2" customFormat="1" ht="12.95" hidden="1" customHeight="1">
      <c r="B171" s="29" t="s">
        <v>77</v>
      </c>
      <c r="C171" s="11">
        <f t="shared" si="33"/>
        <v>109.6</v>
      </c>
      <c r="E171" s="29" t="s">
        <v>77</v>
      </c>
      <c r="F171" s="14">
        <v>109.6</v>
      </c>
      <c r="G171" s="14"/>
      <c r="H171" s="14"/>
      <c r="I171" s="14">
        <f>+H171</f>
        <v>0</v>
      </c>
      <c r="J171" s="14">
        <f t="shared" si="43"/>
        <v>0</v>
      </c>
      <c r="K171" s="14">
        <f t="shared" si="43"/>
        <v>0</v>
      </c>
      <c r="L171" s="14">
        <f t="shared" si="43"/>
        <v>0</v>
      </c>
      <c r="M171" s="14">
        <f t="shared" si="43"/>
        <v>0</v>
      </c>
      <c r="N171" s="14">
        <f t="shared" si="43"/>
        <v>0</v>
      </c>
    </row>
    <row r="172" spans="2:14" s="2" customFormat="1" ht="12.95" hidden="1" customHeight="1">
      <c r="B172" s="30" t="s">
        <v>81</v>
      </c>
      <c r="C172" s="11">
        <f t="shared" si="33"/>
        <v>89.26</v>
      </c>
      <c r="E172" s="30" t="s">
        <v>81</v>
      </c>
      <c r="F172" s="14">
        <v>89.26</v>
      </c>
      <c r="G172" s="14">
        <v>89.26</v>
      </c>
      <c r="H172" s="14">
        <v>89.26</v>
      </c>
      <c r="I172" s="14">
        <f>+H172</f>
        <v>89.26</v>
      </c>
      <c r="J172" s="14">
        <f t="shared" si="43"/>
        <v>89.26</v>
      </c>
      <c r="K172" s="14">
        <f t="shared" si="43"/>
        <v>89.26</v>
      </c>
      <c r="L172" s="14">
        <f t="shared" si="43"/>
        <v>89.26</v>
      </c>
      <c r="M172" s="14">
        <f t="shared" si="43"/>
        <v>89.26</v>
      </c>
      <c r="N172" s="14">
        <f t="shared" si="43"/>
        <v>89.26</v>
      </c>
    </row>
    <row r="173" spans="2:14" s="2" customFormat="1" ht="12.95" hidden="1" customHeight="1">
      <c r="B173" s="30" t="s">
        <v>78</v>
      </c>
      <c r="C173" s="11">
        <f t="shared" si="33"/>
        <v>0</v>
      </c>
      <c r="E173" s="30" t="s">
        <v>78</v>
      </c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2:14" s="2" customFormat="1" ht="12.95" hidden="1" customHeight="1">
      <c r="B174" s="30" t="s">
        <v>82</v>
      </c>
      <c r="C174" s="11">
        <f t="shared" si="33"/>
        <v>0</v>
      </c>
      <c r="E174" s="30" t="s">
        <v>82</v>
      </c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2:14" s="2" customFormat="1" ht="12.95" hidden="1" customHeight="1">
      <c r="B175" s="31" t="s">
        <v>79</v>
      </c>
      <c r="C175" s="11">
        <f t="shared" si="33"/>
        <v>0</v>
      </c>
      <c r="E175" s="31" t="s">
        <v>79</v>
      </c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2:14" s="2" customFormat="1" ht="12.95" hidden="1" customHeight="1">
      <c r="B176" s="22" t="s">
        <v>9</v>
      </c>
      <c r="C176" s="11">
        <f t="shared" si="33"/>
        <v>-37.67</v>
      </c>
      <c r="E176" s="22" t="s">
        <v>9</v>
      </c>
      <c r="F176" s="20">
        <v>-37.67</v>
      </c>
      <c r="G176" s="20">
        <v>-37.67</v>
      </c>
      <c r="H176" s="20">
        <v>-37.67</v>
      </c>
      <c r="I176" s="20">
        <v>-47.86</v>
      </c>
      <c r="J176" s="20">
        <v>-47.86</v>
      </c>
      <c r="K176" s="20">
        <v>-47.86</v>
      </c>
      <c r="L176" s="20">
        <v>-47.86</v>
      </c>
      <c r="M176" s="20">
        <v>-47.86</v>
      </c>
      <c r="N176" s="20">
        <v>-47.86</v>
      </c>
    </row>
    <row r="177" spans="2:14" s="2" customFormat="1" ht="12.95" hidden="1" customHeight="1">
      <c r="B177" s="22" t="s">
        <v>16</v>
      </c>
      <c r="C177" s="11">
        <f t="shared" si="33"/>
        <v>-86.03</v>
      </c>
      <c r="E177" s="22" t="s">
        <v>16</v>
      </c>
      <c r="F177" s="20">
        <v>-86.03</v>
      </c>
      <c r="G177" s="20">
        <v>-86.03</v>
      </c>
      <c r="H177" s="20">
        <v>-86.03</v>
      </c>
      <c r="I177" s="20">
        <v>-109.31</v>
      </c>
      <c r="J177" s="20">
        <v>-109.31</v>
      </c>
      <c r="K177" s="20">
        <v>-109.31</v>
      </c>
      <c r="L177" s="20">
        <v>-109.31</v>
      </c>
      <c r="M177" s="20">
        <v>-109.31</v>
      </c>
      <c r="N177" s="20">
        <v>-109.31</v>
      </c>
    </row>
    <row r="178" spans="2:14" hidden="1">
      <c r="B178" s="1" t="s">
        <v>18</v>
      </c>
      <c r="C178" s="11">
        <f t="shared" si="33"/>
        <v>36662.844000000005</v>
      </c>
      <c r="E178" s="32" t="s">
        <v>18</v>
      </c>
      <c r="F178" s="82">
        <f>((+F154+F158+F159+F160)*12)+(F156*INT($C$3/3)*12)+((F155+F158)*2)+((F159+F160)*0.78*2)+(F157*INT($C$3/3)*2)+(IF($C$6="s",(F169+12)+(F170*INT($C$3/3)*12),F168*12))+(IF($C$4="s",F171,0))+(((IF(INT($C$3/6)&lt;6,F161,13.98))+(IF(AND(INT($C$3/6)&gt;0,INT($C$3/6)&lt;2),F162,0))+(IF(AND(INT($C$3/6)&gt;1,INT($C$3/6)&lt;3),F162+F163,0))+(IF(AND(INT($C$3/6)&gt;2,INT($C$3/6)&lt;4),F162+F163+F164,0))+(IF(AND(INT($C$3/6)&gt;3,INT($C$3/6)&lt;5),F162+F163+F164+F165,0))+(IF(INT($C$3/6)&gt;4,F162+F163+F164+F165+F166,0)))*12)+(IF($C$7="s",F167*12,0))++(((IF(INT($C$3/3)&lt;6,F161,0))+(IF(AND(INT($C$3/6)&gt;0,INT($C$3/6)&lt;2),F162,0))+(IF(AND(INT($C$3/6)&gt;1,INT($C$3/6)&lt;3),F162+F163,0))+(IF(AND(INT($C$3/6)&gt;2,INT($C$3/6)&lt;4),F162+F163+F164,0))+(IF(AND(INT($C$3/6)&gt;3,INT($C$3/6)&lt;5),F162+F163+F164+F165,0))+(IF(INT($C$3/6)&gt;4,F162+F163+F164+F165+F166,0)))*2*0.78)+(F172*12)+(F173*2)</f>
        <v>36662.844000000005</v>
      </c>
      <c r="G178" s="82">
        <f>((+G154+G158+G159+G160)*12)+(G156*INT($C$3/3)*12)+((G155+G158)*2)+((G159+G160)*0.78*2)+(G157*INT($C$3/3)*2)+(IF($C$6="s",(G169+12)+(G170*INT($C$3/3)*12),G168*12))+(IF($C$4="s",G171,0))+(((IF(INT($C$3/6)&lt;6,G161,13.98))+(IF(AND(INT($C$3/6)&gt;0,INT($C$3/6)&lt;2),G162,0))+(IF(AND(INT($C$3/6)&gt;1,INT($C$3/6)&lt;3),G162+G163,0))+(IF(AND(INT($C$3/6)&gt;2,INT($C$3/6)&lt;4),G162+G163+G164,0))+(IF(AND(INT($C$3/6)&gt;3,INT($C$3/6)&lt;5),G162+G163+G164+G165,0))+(IF(INT($C$3/6)&gt;4,G162+G163+G164+G165+G166,0)))*12)+(IF($C$7="s",G167*12,0))++(((IF(INT($C$3/3)&lt;6,G161,0))+(IF(AND(INT($C$3/6)&gt;0,INT($C$3/6)&lt;2),G162,0))+(IF(AND(INT($C$3/6)&gt;1,INT($C$3/6)&lt;3),G162+G163,0))+(IF(AND(INT($C$3/6)&gt;2,INT($C$3/6)&lt;4),G162+G163+G164,0))+(IF(AND(INT($C$3/6)&gt;3,INT($C$3/6)&lt;5),G162+G163+G164+G165,0))+(IF(INT($C$3/6)&gt;4,G162+G163+G164+G165+G166,0)))*2*0.78)+(G172*12)+(G173*2)</f>
        <v>38196.824000000008</v>
      </c>
      <c r="H178" s="82">
        <f t="shared" ref="H178:N178" si="44">((+H154+H158+H159+H160)*12)+(H156*INT($C$3/3)*12)+((H155+H158)*2)+((H159+H160)*0.78*2)+(H157*INT($C$3/3)*2)+(IF($C$6="s",(H169+12)+(H170*INT($C$3/3)*12),H168*12))+(IF($C$4="s",H171,0))+(((IF(INT($C$3/6)&lt;6,H161,13.98))+(IF(AND(INT($C$3/6)&gt;0,INT($C$3/6)&lt;2),H162,0))+(IF(AND(INT($C$3/6)&gt;1,INT($C$3/6)&lt;3),H162+H163,0))+(IF(AND(INT($C$3/6)&gt;2,INT($C$3/6)&lt;4),H162+H163+H164,0))+(IF(AND(INT($C$3/6)&gt;3,INT($C$3/6)&lt;5),H162+H163+H164+H165,0))+(IF(INT($C$3/6)&gt;4,H162+H163+H164+H165+H166,0)))*12)+(IF($C$7="s",H167*12,0))++(((IF(INT($C$3/3)&lt;6,H161,0))+(IF(AND(INT($C$3/6)&gt;0,INT($C$3/6)&lt;2),H162,0))+(IF(AND(INT($C$3/6)&gt;1,INT($C$3/6)&lt;3),H162+H163,0))+(IF(AND(INT($C$3/6)&gt;2,INT($C$3/6)&lt;4),H162+H163+H164,0))+(IF(AND(INT($C$3/6)&gt;3,INT($C$3/6)&lt;5),H162+H163+H164+H165,0))+(IF(INT($C$3/6)&gt;4,H162+H163+H164+H165+H166,0)))*2*0.78)+(H172*12)+(H173*2)</f>
        <v>38196.824000000008</v>
      </c>
      <c r="I178" s="82">
        <f t="shared" si="44"/>
        <v>40875.923999999999</v>
      </c>
      <c r="J178" s="82">
        <f t="shared" si="44"/>
        <v>40875.923999999999</v>
      </c>
      <c r="K178" s="82">
        <f t="shared" si="44"/>
        <v>40875.923999999999</v>
      </c>
      <c r="L178" s="82">
        <f t="shared" si="44"/>
        <v>40875.923999999999</v>
      </c>
      <c r="M178" s="82">
        <f t="shared" si="44"/>
        <v>43182.777200000004</v>
      </c>
      <c r="N178" s="82">
        <f t="shared" si="44"/>
        <v>43182.777200000004</v>
      </c>
    </row>
    <row r="179" spans="2:14" hidden="1"/>
    <row r="180" spans="2:14" hidden="1"/>
    <row r="181" spans="2:14" hidden="1">
      <c r="G181" s="82">
        <f>+G162+G161+G160-55.51</f>
        <v>412.75</v>
      </c>
    </row>
    <row r="182" spans="2:14" hidden="1"/>
    <row r="183" spans="2:14" hidden="1"/>
    <row r="184" spans="2:14" hidden="1"/>
    <row r="185" spans="2:14" s="2" customFormat="1" ht="12.95" hidden="1" customHeight="1">
      <c r="B185" s="3"/>
      <c r="C185" s="2" t="str">
        <f>+E186</f>
        <v>Cantabria</v>
      </c>
    </row>
    <row r="186" spans="2:14" s="2" customFormat="1" ht="35.25" hidden="1" customHeight="1">
      <c r="C186" s="7" t="str">
        <f>+$C$11</f>
        <v>597-Maestros</v>
      </c>
      <c r="E186" s="15" t="s">
        <v>40</v>
      </c>
      <c r="F186" s="6" t="s">
        <v>60</v>
      </c>
      <c r="G186" s="6" t="s">
        <v>55</v>
      </c>
      <c r="H186" s="6" t="s">
        <v>59</v>
      </c>
      <c r="I186" s="6" t="s">
        <v>54</v>
      </c>
      <c r="J186" s="6" t="s">
        <v>56</v>
      </c>
      <c r="K186" s="6" t="s">
        <v>57</v>
      </c>
      <c r="L186" s="6" t="s">
        <v>58</v>
      </c>
      <c r="M186" s="6" t="s">
        <v>53</v>
      </c>
      <c r="N186" s="6" t="s">
        <v>52</v>
      </c>
    </row>
    <row r="187" spans="2:14" s="2" customFormat="1" ht="12.95" hidden="1" customHeight="1">
      <c r="B187" s="12" t="s">
        <v>1</v>
      </c>
      <c r="C187" s="11" t="str">
        <f t="shared" ref="C187:C213" si="45">IF($C$11=$F$11,F187,IF($C$11=G$11,G187,IF($C$11=H$11,H187,IF($C$11=I$11,I187,IF($C$11=J$11,J187,IF($C$11=K$11,K187,IF($C$11=L$11,L187,IF($C$11=M$11,M187,N187))))))))</f>
        <v>A2</v>
      </c>
      <c r="E187" s="5" t="s">
        <v>1</v>
      </c>
      <c r="F187" s="4" t="s">
        <v>61</v>
      </c>
      <c r="G187" s="4" t="s">
        <v>61</v>
      </c>
      <c r="H187" s="4" t="s">
        <v>61</v>
      </c>
      <c r="I187" s="4" t="s">
        <v>17</v>
      </c>
      <c r="J187" s="4" t="s">
        <v>17</v>
      </c>
      <c r="K187" s="4" t="s">
        <v>17</v>
      </c>
      <c r="L187" s="4" t="s">
        <v>17</v>
      </c>
      <c r="M187" s="4" t="s">
        <v>17</v>
      </c>
      <c r="N187" s="4" t="s">
        <v>17</v>
      </c>
    </row>
    <row r="188" spans="2:14" s="2" customFormat="1" ht="12.95" hidden="1" customHeight="1">
      <c r="B188" s="12" t="str">
        <f>+E188</f>
        <v>Nivel</v>
      </c>
      <c r="C188" s="11">
        <f t="shared" si="45"/>
        <v>21</v>
      </c>
      <c r="E188" s="5" t="s">
        <v>0</v>
      </c>
      <c r="F188" s="4">
        <v>21</v>
      </c>
      <c r="G188" s="4">
        <v>24</v>
      </c>
      <c r="H188" s="4">
        <v>24</v>
      </c>
      <c r="I188" s="4">
        <v>24</v>
      </c>
      <c r="J188" s="4">
        <v>24</v>
      </c>
      <c r="K188" s="4">
        <v>24</v>
      </c>
      <c r="L188" s="4">
        <v>24</v>
      </c>
      <c r="M188" s="4">
        <v>26</v>
      </c>
      <c r="N188" s="4">
        <v>26</v>
      </c>
    </row>
    <row r="189" spans="2:14" s="2" customFormat="1" ht="12.95" hidden="1" customHeight="1">
      <c r="B189" s="13" t="s">
        <v>2</v>
      </c>
      <c r="C189" s="11">
        <f t="shared" si="45"/>
        <v>958.98</v>
      </c>
      <c r="E189" s="13" t="s">
        <v>2</v>
      </c>
      <c r="F189" s="14">
        <v>958.98</v>
      </c>
      <c r="G189" s="14">
        <v>958.98</v>
      </c>
      <c r="H189" s="14">
        <v>958.98</v>
      </c>
      <c r="I189" s="14">
        <v>1109.0999999999999</v>
      </c>
      <c r="J189" s="14">
        <f>+I189</f>
        <v>1109.0999999999999</v>
      </c>
      <c r="K189" s="14">
        <f>+J189</f>
        <v>1109.0999999999999</v>
      </c>
      <c r="L189" s="14">
        <f>+K189</f>
        <v>1109.0999999999999</v>
      </c>
      <c r="M189" s="14">
        <f>+L189</f>
        <v>1109.0999999999999</v>
      </c>
      <c r="N189" s="14">
        <f>+M189</f>
        <v>1109.0999999999999</v>
      </c>
    </row>
    <row r="190" spans="2:14" s="2" customFormat="1" ht="12.95" hidden="1" customHeight="1">
      <c r="B190" s="13" t="s">
        <v>64</v>
      </c>
      <c r="C190" s="11">
        <f t="shared" si="45"/>
        <v>699.38</v>
      </c>
      <c r="E190" s="13" t="s">
        <v>64</v>
      </c>
      <c r="F190" s="19">
        <v>699.38</v>
      </c>
      <c r="G190" s="19">
        <v>699.38</v>
      </c>
      <c r="H190" s="19">
        <v>699.38</v>
      </c>
      <c r="I190" s="19">
        <v>684.36</v>
      </c>
      <c r="J190" s="14">
        <f t="shared" ref="J190:N194" si="46">+I190</f>
        <v>684.36</v>
      </c>
      <c r="K190" s="14">
        <f t="shared" si="46"/>
        <v>684.36</v>
      </c>
      <c r="L190" s="14">
        <f t="shared" si="46"/>
        <v>684.36</v>
      </c>
      <c r="M190" s="14">
        <f t="shared" si="46"/>
        <v>684.36</v>
      </c>
      <c r="N190" s="14">
        <f t="shared" si="46"/>
        <v>684.36</v>
      </c>
    </row>
    <row r="191" spans="2:14" s="2" customFormat="1" ht="12.95" hidden="1" customHeight="1">
      <c r="B191" s="13" t="s">
        <v>3</v>
      </c>
      <c r="C191" s="11">
        <f t="shared" si="45"/>
        <v>34.770000000000003</v>
      </c>
      <c r="E191" s="13" t="s">
        <v>3</v>
      </c>
      <c r="F191" s="14">
        <v>34.770000000000003</v>
      </c>
      <c r="G191" s="14">
        <v>34.770000000000003</v>
      </c>
      <c r="H191" s="14">
        <v>34.770000000000003</v>
      </c>
      <c r="I191" s="14">
        <v>42.65</v>
      </c>
      <c r="J191" s="14">
        <f t="shared" si="46"/>
        <v>42.65</v>
      </c>
      <c r="K191" s="14">
        <f t="shared" si="46"/>
        <v>42.65</v>
      </c>
      <c r="L191" s="14">
        <f t="shared" si="46"/>
        <v>42.65</v>
      </c>
      <c r="M191" s="14">
        <f t="shared" si="46"/>
        <v>42.65</v>
      </c>
      <c r="N191" s="14">
        <f t="shared" si="46"/>
        <v>42.65</v>
      </c>
    </row>
    <row r="192" spans="2:14" s="2" customFormat="1" ht="12.95" hidden="1" customHeight="1">
      <c r="B192" s="13" t="s">
        <v>65</v>
      </c>
      <c r="C192" s="11">
        <f t="shared" si="45"/>
        <v>25.35</v>
      </c>
      <c r="E192" s="13" t="s">
        <v>65</v>
      </c>
      <c r="F192" s="19">
        <v>25.35</v>
      </c>
      <c r="G192" s="19">
        <v>25.35</v>
      </c>
      <c r="H192" s="19">
        <v>25.35</v>
      </c>
      <c r="I192" s="19">
        <v>26.31</v>
      </c>
      <c r="J192" s="14">
        <f t="shared" si="46"/>
        <v>26.31</v>
      </c>
      <c r="K192" s="14">
        <f t="shared" si="46"/>
        <v>26.31</v>
      </c>
      <c r="L192" s="14">
        <f t="shared" si="46"/>
        <v>26.31</v>
      </c>
      <c r="M192" s="14">
        <f t="shared" si="46"/>
        <v>26.31</v>
      </c>
      <c r="N192" s="14">
        <f t="shared" si="46"/>
        <v>26.31</v>
      </c>
    </row>
    <row r="193" spans="2:14" s="2" customFormat="1" ht="12.95" hidden="1" customHeight="1">
      <c r="B193" s="13" t="s">
        <v>4</v>
      </c>
      <c r="C193" s="11">
        <f t="shared" si="45"/>
        <v>473.35</v>
      </c>
      <c r="E193" s="13" t="s">
        <v>4</v>
      </c>
      <c r="F193" s="14">
        <v>473.35</v>
      </c>
      <c r="G193" s="14">
        <v>613.6</v>
      </c>
      <c r="H193" s="14">
        <v>613.6</v>
      </c>
      <c r="I193" s="14">
        <v>613.6</v>
      </c>
      <c r="J193" s="14">
        <f t="shared" si="46"/>
        <v>613.6</v>
      </c>
      <c r="K193" s="14">
        <f t="shared" si="46"/>
        <v>613.6</v>
      </c>
      <c r="L193" s="14">
        <f t="shared" si="46"/>
        <v>613.6</v>
      </c>
      <c r="M193" s="14">
        <f t="shared" si="46"/>
        <v>613.6</v>
      </c>
      <c r="N193" s="14">
        <f t="shared" si="46"/>
        <v>613.6</v>
      </c>
    </row>
    <row r="194" spans="2:14" s="2" customFormat="1" ht="12.95" hidden="1" customHeight="1">
      <c r="B194" s="13" t="s">
        <v>5</v>
      </c>
      <c r="C194" s="11">
        <f t="shared" si="45"/>
        <v>699.62</v>
      </c>
      <c r="E194" s="13" t="s">
        <v>5</v>
      </c>
      <c r="F194" s="14">
        <v>699.62</v>
      </c>
      <c r="G194" s="14">
        <v>699.62</v>
      </c>
      <c r="H194" s="14">
        <v>699.62</v>
      </c>
      <c r="I194" s="14">
        <v>699.62</v>
      </c>
      <c r="J194" s="14">
        <f t="shared" si="46"/>
        <v>699.62</v>
      </c>
      <c r="K194" s="14">
        <f t="shared" si="46"/>
        <v>699.62</v>
      </c>
      <c r="L194" s="14">
        <f t="shared" si="46"/>
        <v>699.62</v>
      </c>
      <c r="M194" s="14">
        <f t="shared" si="46"/>
        <v>699.62</v>
      </c>
      <c r="N194" s="14">
        <f t="shared" si="46"/>
        <v>699.62</v>
      </c>
    </row>
    <row r="195" spans="2:14" s="2" customFormat="1" ht="12.95" hidden="1" customHeight="1">
      <c r="B195" s="27" t="s">
        <v>66</v>
      </c>
      <c r="C195" s="11">
        <f t="shared" si="45"/>
        <v>0</v>
      </c>
      <c r="E195" s="27" t="s">
        <v>66</v>
      </c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2:14" s="2" customFormat="1" ht="12.95" hidden="1" customHeight="1">
      <c r="B196" s="27" t="s">
        <v>80</v>
      </c>
      <c r="C196" s="11">
        <f t="shared" si="45"/>
        <v>15.29</v>
      </c>
      <c r="E196" s="27" t="s">
        <v>80</v>
      </c>
      <c r="F196" s="14">
        <v>15.29</v>
      </c>
      <c r="G196" s="14">
        <v>15.29</v>
      </c>
      <c r="H196" s="14">
        <v>15.29</v>
      </c>
      <c r="I196" s="14">
        <v>15.29</v>
      </c>
      <c r="J196" s="14">
        <f t="shared" ref="J196:J202" si="47">+I196</f>
        <v>15.29</v>
      </c>
      <c r="K196" s="14">
        <f t="shared" ref="K196:N202" si="48">+J196</f>
        <v>15.29</v>
      </c>
      <c r="L196" s="14">
        <f t="shared" si="48"/>
        <v>15.29</v>
      </c>
      <c r="M196" s="14">
        <f t="shared" si="48"/>
        <v>15.29</v>
      </c>
      <c r="N196" s="14">
        <f t="shared" si="48"/>
        <v>15.29</v>
      </c>
    </row>
    <row r="197" spans="2:14" s="2" customFormat="1" ht="12.95" hidden="1" customHeight="1">
      <c r="B197" s="27" t="s">
        <v>26</v>
      </c>
      <c r="C197" s="11">
        <f t="shared" si="45"/>
        <v>73.72</v>
      </c>
      <c r="E197" s="27" t="s">
        <v>26</v>
      </c>
      <c r="F197" s="85">
        <v>73.72</v>
      </c>
      <c r="G197" s="14">
        <f t="shared" ref="G197:I202" si="49">+F197</f>
        <v>73.72</v>
      </c>
      <c r="H197" s="14">
        <f t="shared" si="49"/>
        <v>73.72</v>
      </c>
      <c r="I197" s="14">
        <f t="shared" si="49"/>
        <v>73.72</v>
      </c>
      <c r="J197" s="14">
        <f t="shared" si="47"/>
        <v>73.72</v>
      </c>
      <c r="K197" s="14">
        <f t="shared" si="48"/>
        <v>73.72</v>
      </c>
      <c r="L197" s="14">
        <f t="shared" si="48"/>
        <v>73.72</v>
      </c>
      <c r="M197" s="14">
        <f t="shared" si="48"/>
        <v>73.72</v>
      </c>
      <c r="N197" s="14">
        <f t="shared" si="48"/>
        <v>73.72</v>
      </c>
    </row>
    <row r="198" spans="2:14" s="2" customFormat="1" ht="12.95" hidden="1" customHeight="1">
      <c r="B198" s="27" t="s">
        <v>27</v>
      </c>
      <c r="C198" s="11">
        <f t="shared" si="45"/>
        <v>73.72</v>
      </c>
      <c r="E198" s="27" t="s">
        <v>27</v>
      </c>
      <c r="F198" s="85">
        <v>73.72</v>
      </c>
      <c r="G198" s="14">
        <f t="shared" si="49"/>
        <v>73.72</v>
      </c>
      <c r="H198" s="14">
        <f t="shared" si="49"/>
        <v>73.72</v>
      </c>
      <c r="I198" s="14">
        <f t="shared" si="49"/>
        <v>73.72</v>
      </c>
      <c r="J198" s="14">
        <f t="shared" si="47"/>
        <v>73.72</v>
      </c>
      <c r="K198" s="14">
        <f t="shared" si="48"/>
        <v>73.72</v>
      </c>
      <c r="L198" s="14">
        <f t="shared" si="48"/>
        <v>73.72</v>
      </c>
      <c r="M198" s="14">
        <f t="shared" si="48"/>
        <v>73.72</v>
      </c>
      <c r="N198" s="14">
        <f t="shared" si="48"/>
        <v>73.72</v>
      </c>
    </row>
    <row r="199" spans="2:14" s="2" customFormat="1" ht="12.95" hidden="1" customHeight="1">
      <c r="B199" s="27" t="s">
        <v>28</v>
      </c>
      <c r="C199" s="11">
        <f t="shared" si="45"/>
        <v>98.24</v>
      </c>
      <c r="E199" s="27" t="s">
        <v>28</v>
      </c>
      <c r="F199" s="85">
        <v>98.24</v>
      </c>
      <c r="G199" s="14">
        <f t="shared" si="49"/>
        <v>98.24</v>
      </c>
      <c r="H199" s="14">
        <f t="shared" si="49"/>
        <v>98.24</v>
      </c>
      <c r="I199" s="14">
        <f t="shared" si="49"/>
        <v>98.24</v>
      </c>
      <c r="J199" s="14">
        <f t="shared" si="47"/>
        <v>98.24</v>
      </c>
      <c r="K199" s="14">
        <f t="shared" si="48"/>
        <v>98.24</v>
      </c>
      <c r="L199" s="14">
        <f t="shared" si="48"/>
        <v>98.24</v>
      </c>
      <c r="M199" s="14">
        <f t="shared" si="48"/>
        <v>98.24</v>
      </c>
      <c r="N199" s="14">
        <f t="shared" si="48"/>
        <v>98.24</v>
      </c>
    </row>
    <row r="200" spans="2:14" s="2" customFormat="1" ht="12.95" hidden="1" customHeight="1">
      <c r="B200" s="27" t="s">
        <v>29</v>
      </c>
      <c r="C200" s="11">
        <f t="shared" si="45"/>
        <v>134.25</v>
      </c>
      <c r="E200" s="27" t="s">
        <v>29</v>
      </c>
      <c r="F200" s="85">
        <v>134.25</v>
      </c>
      <c r="G200" s="14">
        <f t="shared" si="49"/>
        <v>134.25</v>
      </c>
      <c r="H200" s="14">
        <f t="shared" si="49"/>
        <v>134.25</v>
      </c>
      <c r="I200" s="14">
        <f t="shared" si="49"/>
        <v>134.25</v>
      </c>
      <c r="J200" s="14">
        <f t="shared" si="47"/>
        <v>134.25</v>
      </c>
      <c r="K200" s="14">
        <f t="shared" si="48"/>
        <v>134.25</v>
      </c>
      <c r="L200" s="14">
        <f t="shared" si="48"/>
        <v>134.25</v>
      </c>
      <c r="M200" s="14">
        <f t="shared" si="48"/>
        <v>134.25</v>
      </c>
      <c r="N200" s="14">
        <f t="shared" si="48"/>
        <v>134.25</v>
      </c>
    </row>
    <row r="201" spans="2:14" s="2" customFormat="1" ht="12.95" hidden="1" customHeight="1">
      <c r="B201" s="27" t="s">
        <v>30</v>
      </c>
      <c r="C201" s="11">
        <f t="shared" si="45"/>
        <v>39.58</v>
      </c>
      <c r="E201" s="27" t="s">
        <v>30</v>
      </c>
      <c r="F201" s="85">
        <v>39.58</v>
      </c>
      <c r="G201" s="14">
        <f t="shared" si="49"/>
        <v>39.58</v>
      </c>
      <c r="H201" s="14">
        <f t="shared" si="49"/>
        <v>39.58</v>
      </c>
      <c r="I201" s="14">
        <f t="shared" si="49"/>
        <v>39.58</v>
      </c>
      <c r="J201" s="14">
        <f t="shared" si="47"/>
        <v>39.58</v>
      </c>
      <c r="K201" s="14">
        <f t="shared" si="48"/>
        <v>39.58</v>
      </c>
      <c r="L201" s="14">
        <f t="shared" si="48"/>
        <v>39.58</v>
      </c>
      <c r="M201" s="14">
        <f t="shared" si="48"/>
        <v>39.58</v>
      </c>
      <c r="N201" s="14">
        <f t="shared" si="48"/>
        <v>39.58</v>
      </c>
    </row>
    <row r="202" spans="2:14" s="2" customFormat="1" ht="12.95" hidden="1" customHeight="1">
      <c r="B202" s="27" t="s">
        <v>32</v>
      </c>
      <c r="C202" s="11">
        <f t="shared" si="45"/>
        <v>0</v>
      </c>
      <c r="E202" s="27" t="s">
        <v>32</v>
      </c>
      <c r="F202" s="85"/>
      <c r="G202" s="14">
        <f t="shared" si="49"/>
        <v>0</v>
      </c>
      <c r="H202" s="14">
        <f t="shared" si="49"/>
        <v>0</v>
      </c>
      <c r="I202" s="14">
        <f t="shared" si="49"/>
        <v>0</v>
      </c>
      <c r="J202" s="14">
        <f t="shared" si="47"/>
        <v>0</v>
      </c>
      <c r="K202" s="14">
        <f t="shared" si="48"/>
        <v>0</v>
      </c>
      <c r="L202" s="14">
        <f t="shared" si="48"/>
        <v>0</v>
      </c>
      <c r="M202" s="14">
        <f t="shared" si="48"/>
        <v>0</v>
      </c>
      <c r="N202" s="14">
        <f t="shared" si="48"/>
        <v>0</v>
      </c>
    </row>
    <row r="203" spans="2:14" s="2" customFormat="1" ht="12.95" hidden="1" customHeight="1">
      <c r="B203" s="28" t="s">
        <v>6</v>
      </c>
      <c r="C203" s="11">
        <f t="shared" si="45"/>
        <v>0</v>
      </c>
      <c r="E203" s="28" t="s">
        <v>6</v>
      </c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2:14" s="2" customFormat="1" ht="12.95" hidden="1" customHeight="1">
      <c r="B204" s="28" t="s">
        <v>7</v>
      </c>
      <c r="C204" s="11">
        <f t="shared" si="45"/>
        <v>0</v>
      </c>
      <c r="E204" s="28" t="s">
        <v>7</v>
      </c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2:14" s="2" customFormat="1" ht="12.95" hidden="1" customHeight="1">
      <c r="B205" s="28" t="s">
        <v>8</v>
      </c>
      <c r="C205" s="11">
        <f t="shared" si="45"/>
        <v>0</v>
      </c>
      <c r="E205" s="28" t="s">
        <v>8</v>
      </c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2:14" s="2" customFormat="1" ht="12.95" hidden="1" customHeight="1">
      <c r="B206" s="29" t="s">
        <v>77</v>
      </c>
      <c r="C206" s="11">
        <f t="shared" si="45"/>
        <v>0</v>
      </c>
      <c r="E206" s="29" t="s">
        <v>77</v>
      </c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2:14" s="2" customFormat="1" ht="12.95" hidden="1" customHeight="1">
      <c r="B207" s="30" t="s">
        <v>81</v>
      </c>
      <c r="C207" s="11">
        <f t="shared" si="45"/>
        <v>0</v>
      </c>
      <c r="E207" s="30" t="s">
        <v>81</v>
      </c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2:14" s="2" customFormat="1" ht="12.95" hidden="1" customHeight="1">
      <c r="B208" s="30" t="s">
        <v>78</v>
      </c>
      <c r="C208" s="11">
        <f t="shared" si="45"/>
        <v>0</v>
      </c>
      <c r="E208" s="30" t="s">
        <v>78</v>
      </c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2:14" s="2" customFormat="1" ht="12.95" hidden="1" customHeight="1">
      <c r="B209" s="30" t="s">
        <v>82</v>
      </c>
      <c r="C209" s="11">
        <f t="shared" si="45"/>
        <v>0</v>
      </c>
      <c r="E209" s="30" t="s">
        <v>82</v>
      </c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2:14" s="2" customFormat="1" ht="12.95" hidden="1" customHeight="1">
      <c r="B210" s="31" t="s">
        <v>79</v>
      </c>
      <c r="C210" s="11">
        <f t="shared" si="45"/>
        <v>0</v>
      </c>
      <c r="E210" s="31" t="s">
        <v>79</v>
      </c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2:14" s="2" customFormat="1" ht="12.95" hidden="1" customHeight="1">
      <c r="B211" s="22" t="s">
        <v>9</v>
      </c>
      <c r="C211" s="11">
        <f t="shared" si="45"/>
        <v>-37.67</v>
      </c>
      <c r="E211" s="22" t="s">
        <v>9</v>
      </c>
      <c r="F211" s="20">
        <v>-37.67</v>
      </c>
      <c r="G211" s="20">
        <v>-37.67</v>
      </c>
      <c r="H211" s="20">
        <v>-37.67</v>
      </c>
      <c r="I211" s="20">
        <v>-47.86</v>
      </c>
      <c r="J211" s="20">
        <v>-47.86</v>
      </c>
      <c r="K211" s="20">
        <v>-47.86</v>
      </c>
      <c r="L211" s="20">
        <v>-47.86</v>
      </c>
      <c r="M211" s="20">
        <v>-47.86</v>
      </c>
      <c r="N211" s="20">
        <v>-47.86</v>
      </c>
    </row>
    <row r="212" spans="2:14" s="2" customFormat="1" ht="12.95" hidden="1" customHeight="1">
      <c r="B212" s="22" t="s">
        <v>16</v>
      </c>
      <c r="C212" s="11">
        <f t="shared" si="45"/>
        <v>-86.03</v>
      </c>
      <c r="E212" s="22" t="s">
        <v>16</v>
      </c>
      <c r="F212" s="20">
        <v>-86.03</v>
      </c>
      <c r="G212" s="20">
        <v>-86.03</v>
      </c>
      <c r="H212" s="20">
        <v>-86.03</v>
      </c>
      <c r="I212" s="20">
        <v>-109.31</v>
      </c>
      <c r="J212" s="20">
        <v>-109.31</v>
      </c>
      <c r="K212" s="20">
        <v>-109.31</v>
      </c>
      <c r="L212" s="20">
        <v>-109.31</v>
      </c>
      <c r="M212" s="20">
        <v>-109.31</v>
      </c>
      <c r="N212" s="20">
        <v>-109.31</v>
      </c>
    </row>
    <row r="213" spans="2:14" hidden="1">
      <c r="B213" s="1" t="s">
        <v>18</v>
      </c>
      <c r="C213" s="11">
        <f t="shared" si="45"/>
        <v>35159.327999999994</v>
      </c>
      <c r="E213" s="32" t="s">
        <v>18</v>
      </c>
      <c r="F213" s="82">
        <f>((+F189+F193+F194+F195)*12)+(F191*INT($C$3/3)*12)+((F190+F193)*2)+((F194+F195)*0.78*2)+(F192*INT($C$3/3)*2)+(IF($C$6="s",(F204+12)+(F205*INT($C$3/3)*12),F203*12))+(IF($C$4="s",F206,0))+(((IF(INT($C$3/3)&lt;6,F196,0))+(IF(AND(INT($C$3/6)&gt;0,INT($C$3/6)&lt;2),F197,0))+(IF(AND(INT($C$3/6)&gt;1,INT($C$3/6)&lt;3),F197+F198,0))+(IF(AND(INT($C$3/6)&gt;2,INT($C$3/6)&lt;4),F197+F198+F199,0))+(IF(AND(INT($C$3/6)&gt;3,INT($C$3/6)&lt;5),F197+F198+F199+F200,0))+(IF(INT($C$3/6)&gt;4,F197+F198+F199+F200+F201,0)))*12)+(IF($C$7="s",F202*12,0))++(((IF(INT($C$3/3)&lt;6,F196,0))+(IF(AND(INT($C$3/6)&gt;0,INT($C$3/6)&lt;2),F197,0))+(IF(AND(INT($C$3/6)&gt;1,INT($C$3/6)&lt;3),F197+F198,0))+(IF(AND(INT($C$3/6)&gt;2,INT($C$3/6)&lt;4),F197+F198+F199,0))+(IF(AND(INT($C$3/6)&gt;3,INT($C$3/6)&lt;5),F197+F198+F199+F200,0))+(IF(INT($C$3/6)&gt;4,F197+F198+F199+F200+F201,0)))*2*0.78)+(F207*12)+(F208*2)</f>
        <v>35159.327999999994</v>
      </c>
      <c r="G213" s="82">
        <f t="shared" ref="G213:N213" si="50">((+G189+G193+G194+G195)*12)+(G191*INT($C$3/3)*12)+((G190+G193)*2)+((G194+G195)*0.78*2)+(G192*INT($C$3/3)*2)+(IF($C$6="s",(G204+12)+(G205*INT($C$3/3)*12),G203*12))+(IF($C$4="s",G206,0))+(((IF(INT($C$3/3)&lt;6,G196,0))+(IF(AND(INT($C$3/6)&gt;0,INT($C$3/6)&lt;2),G197,0))+(IF(AND(INT($C$3/6)&gt;1,INT($C$3/6)&lt;3),G197+G198,0))+(IF(AND(INT($C$3/6)&gt;2,INT($C$3/6)&lt;4),G197+G198+G199,0))+(IF(AND(INT($C$3/6)&gt;3,INT($C$3/6)&lt;5),G197+G198+G199+G200,0))+(IF(INT($C$3/6)&gt;4,G197+G198+G199+G200+G201,0)))*12)+(IF($C$7="s",G202*12,0))++(((IF(INT($C$3/3)&lt;6,G196,0))+(IF(AND(INT($C$3/6)&gt;0,INT($C$3/6)&lt;2),G197,0))+(IF(AND(INT($C$3/6)&gt;1,INT($C$3/6)&lt;3),G197+G198,0))+(IF(AND(INT($C$3/6)&gt;2,INT($C$3/6)&lt;4),G197+G198+G199,0))+(IF(AND(INT($C$3/6)&gt;3,INT($C$3/6)&lt;5),G197+G198+G199+G200,0))+(IF(INT($C$3/6)&gt;4,G197+G198+G199+G200+G201,0)))*2*0.78)+(G207*12)+(G208*2)</f>
        <v>37122.827999999994</v>
      </c>
      <c r="H213" s="82">
        <f t="shared" si="50"/>
        <v>37122.827999999994</v>
      </c>
      <c r="I213" s="82">
        <f t="shared" si="50"/>
        <v>39473.108000000007</v>
      </c>
      <c r="J213" s="82">
        <f t="shared" si="50"/>
        <v>39473.108000000007</v>
      </c>
      <c r="K213" s="82">
        <f t="shared" si="50"/>
        <v>39473.108000000007</v>
      </c>
      <c r="L213" s="82">
        <f t="shared" si="50"/>
        <v>39473.108000000007</v>
      </c>
      <c r="M213" s="82">
        <f t="shared" si="50"/>
        <v>39473.108000000007</v>
      </c>
      <c r="N213" s="82">
        <f t="shared" si="50"/>
        <v>39473.108000000007</v>
      </c>
    </row>
    <row r="214" spans="2:14" hidden="1"/>
    <row r="215" spans="2:14" hidden="1"/>
    <row r="216" spans="2:14" hidden="1"/>
    <row r="217" spans="2:14" hidden="1"/>
    <row r="218" spans="2:14" hidden="1"/>
    <row r="219" spans="2:14" hidden="1"/>
    <row r="220" spans="2:14" s="2" customFormat="1" ht="12.95" hidden="1" customHeight="1">
      <c r="B220" s="3"/>
      <c r="C220" s="2" t="str">
        <f>+E221</f>
        <v>Castilla La Mancha</v>
      </c>
    </row>
    <row r="221" spans="2:14" s="2" customFormat="1" ht="35.25" hidden="1" customHeight="1">
      <c r="C221" s="7" t="str">
        <f>+$C$11</f>
        <v>597-Maestros</v>
      </c>
      <c r="E221" s="15" t="s">
        <v>63</v>
      </c>
      <c r="F221" s="6" t="s">
        <v>60</v>
      </c>
      <c r="G221" s="6" t="s">
        <v>55</v>
      </c>
      <c r="H221" s="6" t="s">
        <v>59</v>
      </c>
      <c r="I221" s="6" t="s">
        <v>54</v>
      </c>
      <c r="J221" s="6" t="s">
        <v>56</v>
      </c>
      <c r="K221" s="6" t="s">
        <v>57</v>
      </c>
      <c r="L221" s="6" t="s">
        <v>58</v>
      </c>
      <c r="M221" s="6" t="s">
        <v>53</v>
      </c>
      <c r="N221" s="6" t="s">
        <v>52</v>
      </c>
    </row>
    <row r="222" spans="2:14" s="2" customFormat="1" ht="12.95" hidden="1" customHeight="1">
      <c r="B222" s="12" t="s">
        <v>1</v>
      </c>
      <c r="C222" s="11" t="str">
        <f t="shared" ref="C222:C247" si="51">IF($C$11=$F$11,F222,IF($C$11=G$11,G222,IF($C$11=H$11,H222,IF($C$11=I$11,I222,IF($C$11=J$11,J222,IF($C$11=K$11,K222,IF($C$11=L$11,L222,IF($C$11=M$11,M222,N222))))))))</f>
        <v>A2</v>
      </c>
      <c r="E222" s="5" t="s">
        <v>1</v>
      </c>
      <c r="F222" s="4" t="s">
        <v>61</v>
      </c>
      <c r="G222" s="4" t="s">
        <v>61</v>
      </c>
      <c r="H222" s="4" t="s">
        <v>61</v>
      </c>
      <c r="I222" s="4" t="s">
        <v>17</v>
      </c>
      <c r="J222" s="4" t="s">
        <v>17</v>
      </c>
      <c r="K222" s="4" t="s">
        <v>17</v>
      </c>
      <c r="L222" s="4" t="s">
        <v>17</v>
      </c>
      <c r="M222" s="4" t="s">
        <v>17</v>
      </c>
      <c r="N222" s="4" t="s">
        <v>17</v>
      </c>
    </row>
    <row r="223" spans="2:14" s="2" customFormat="1" ht="12.95" hidden="1" customHeight="1">
      <c r="B223" s="12" t="str">
        <f>+E223</f>
        <v>Nivel</v>
      </c>
      <c r="C223" s="11">
        <f t="shared" si="51"/>
        <v>21</v>
      </c>
      <c r="E223" s="5" t="s">
        <v>0</v>
      </c>
      <c r="F223" s="4">
        <v>21</v>
      </c>
      <c r="G223" s="4">
        <v>24</v>
      </c>
      <c r="H223" s="4">
        <v>24</v>
      </c>
      <c r="I223" s="4">
        <v>24</v>
      </c>
      <c r="J223" s="4">
        <v>24</v>
      </c>
      <c r="K223" s="4">
        <v>24</v>
      </c>
      <c r="L223" s="4">
        <v>24</v>
      </c>
      <c r="M223" s="4">
        <v>26</v>
      </c>
      <c r="N223" s="4">
        <v>26</v>
      </c>
    </row>
    <row r="224" spans="2:14" s="2" customFormat="1" ht="12.95" hidden="1" customHeight="1">
      <c r="B224" s="13" t="s">
        <v>2</v>
      </c>
      <c r="C224" s="11">
        <f t="shared" si="51"/>
        <v>958.98</v>
      </c>
      <c r="E224" s="13" t="s">
        <v>2</v>
      </c>
      <c r="F224" s="14">
        <v>958.98</v>
      </c>
      <c r="G224" s="14">
        <v>958.98</v>
      </c>
      <c r="H224" s="14">
        <v>958.98</v>
      </c>
      <c r="I224" s="14">
        <v>1109.0999999999999</v>
      </c>
      <c r="J224" s="14">
        <f t="shared" ref="J224:N230" si="52">+I224</f>
        <v>1109.0999999999999</v>
      </c>
      <c r="K224" s="14">
        <f t="shared" si="52"/>
        <v>1109.0999999999999</v>
      </c>
      <c r="L224" s="14">
        <f t="shared" si="52"/>
        <v>1109.0999999999999</v>
      </c>
      <c r="M224" s="14">
        <f t="shared" si="52"/>
        <v>1109.0999999999999</v>
      </c>
      <c r="N224" s="14">
        <f t="shared" si="52"/>
        <v>1109.0999999999999</v>
      </c>
    </row>
    <row r="225" spans="2:14" s="2" customFormat="1" ht="12.95" hidden="1" customHeight="1">
      <c r="B225" s="13" t="s">
        <v>64</v>
      </c>
      <c r="C225" s="11">
        <f t="shared" si="51"/>
        <v>699.38</v>
      </c>
      <c r="E225" s="13" t="s">
        <v>64</v>
      </c>
      <c r="F225" s="19">
        <v>699.38</v>
      </c>
      <c r="G225" s="19">
        <v>699.38</v>
      </c>
      <c r="H225" s="19">
        <v>699.38</v>
      </c>
      <c r="I225" s="19">
        <v>684.36</v>
      </c>
      <c r="J225" s="14">
        <f t="shared" si="52"/>
        <v>684.36</v>
      </c>
      <c r="K225" s="14">
        <f t="shared" si="52"/>
        <v>684.36</v>
      </c>
      <c r="L225" s="14">
        <f t="shared" si="52"/>
        <v>684.36</v>
      </c>
      <c r="M225" s="14">
        <f t="shared" si="52"/>
        <v>684.36</v>
      </c>
      <c r="N225" s="14">
        <f t="shared" si="52"/>
        <v>684.36</v>
      </c>
    </row>
    <row r="226" spans="2:14" s="2" customFormat="1" ht="12.95" hidden="1" customHeight="1">
      <c r="B226" s="13" t="s">
        <v>3</v>
      </c>
      <c r="C226" s="11">
        <f t="shared" si="51"/>
        <v>34.770000000000003</v>
      </c>
      <c r="E226" s="13" t="s">
        <v>3</v>
      </c>
      <c r="F226" s="14">
        <v>34.770000000000003</v>
      </c>
      <c r="G226" s="14">
        <v>34.770000000000003</v>
      </c>
      <c r="H226" s="14">
        <v>34.770000000000003</v>
      </c>
      <c r="I226" s="14">
        <v>42.65</v>
      </c>
      <c r="J226" s="14">
        <f t="shared" si="52"/>
        <v>42.65</v>
      </c>
      <c r="K226" s="14">
        <f t="shared" si="52"/>
        <v>42.65</v>
      </c>
      <c r="L226" s="14">
        <f t="shared" si="52"/>
        <v>42.65</v>
      </c>
      <c r="M226" s="14">
        <f t="shared" si="52"/>
        <v>42.65</v>
      </c>
      <c r="N226" s="14">
        <f t="shared" si="52"/>
        <v>42.65</v>
      </c>
    </row>
    <row r="227" spans="2:14" s="2" customFormat="1" ht="12.95" hidden="1" customHeight="1">
      <c r="B227" s="13" t="s">
        <v>65</v>
      </c>
      <c r="C227" s="11">
        <f t="shared" si="51"/>
        <v>25.35</v>
      </c>
      <c r="E227" s="13" t="s">
        <v>65</v>
      </c>
      <c r="F227" s="19">
        <v>25.35</v>
      </c>
      <c r="G227" s="19">
        <v>25.35</v>
      </c>
      <c r="H227" s="19">
        <v>25.35</v>
      </c>
      <c r="I227" s="19">
        <v>26.31</v>
      </c>
      <c r="J227" s="14">
        <f t="shared" si="52"/>
        <v>26.31</v>
      </c>
      <c r="K227" s="14">
        <f t="shared" si="52"/>
        <v>26.31</v>
      </c>
      <c r="L227" s="14">
        <f t="shared" si="52"/>
        <v>26.31</v>
      </c>
      <c r="M227" s="14">
        <f t="shared" si="52"/>
        <v>26.31</v>
      </c>
      <c r="N227" s="14">
        <f t="shared" si="52"/>
        <v>26.31</v>
      </c>
    </row>
    <row r="228" spans="2:14" s="2" customFormat="1" ht="12.95" hidden="1" customHeight="1">
      <c r="B228" s="13" t="s">
        <v>4</v>
      </c>
      <c r="C228" s="11">
        <f t="shared" si="51"/>
        <v>473.35</v>
      </c>
      <c r="E228" s="13" t="s">
        <v>4</v>
      </c>
      <c r="F228" s="14">
        <v>473.35</v>
      </c>
      <c r="G228" s="14">
        <v>582.91999999999996</v>
      </c>
      <c r="H228" s="14">
        <v>582.91999999999996</v>
      </c>
      <c r="I228" s="14">
        <v>582.91999999999996</v>
      </c>
      <c r="J228" s="14">
        <f t="shared" si="52"/>
        <v>582.91999999999996</v>
      </c>
      <c r="K228" s="14">
        <f t="shared" si="52"/>
        <v>582.91999999999996</v>
      </c>
      <c r="L228" s="14">
        <f t="shared" si="52"/>
        <v>582.91999999999996</v>
      </c>
      <c r="M228" s="14">
        <f t="shared" si="52"/>
        <v>582.91999999999996</v>
      </c>
      <c r="N228" s="14">
        <f t="shared" si="52"/>
        <v>582.91999999999996</v>
      </c>
    </row>
    <row r="229" spans="2:14" s="2" customFormat="1" ht="12.95" hidden="1" customHeight="1">
      <c r="B229" s="13" t="s">
        <v>5</v>
      </c>
      <c r="C229" s="11">
        <f t="shared" si="51"/>
        <v>235.66</v>
      </c>
      <c r="E229" s="13" t="s">
        <v>5</v>
      </c>
      <c r="F229" s="14">
        <v>235.66</v>
      </c>
      <c r="G229" s="14">
        <v>235.66</v>
      </c>
      <c r="H229" s="14">
        <v>235.66</v>
      </c>
      <c r="I229" s="14">
        <v>235.66</v>
      </c>
      <c r="J229" s="14">
        <f t="shared" si="52"/>
        <v>235.66</v>
      </c>
      <c r="K229" s="14">
        <f t="shared" si="52"/>
        <v>235.66</v>
      </c>
      <c r="L229" s="14">
        <f t="shared" si="52"/>
        <v>235.66</v>
      </c>
      <c r="M229" s="14">
        <f t="shared" si="52"/>
        <v>235.66</v>
      </c>
      <c r="N229" s="14">
        <f t="shared" si="52"/>
        <v>235.66</v>
      </c>
    </row>
    <row r="230" spans="2:14" s="2" customFormat="1" ht="12.95" hidden="1" customHeight="1">
      <c r="B230" s="27" t="s">
        <v>66</v>
      </c>
      <c r="C230" s="11">
        <f t="shared" si="51"/>
        <v>475.92</v>
      </c>
      <c r="E230" s="27" t="s">
        <v>66</v>
      </c>
      <c r="F230" s="14">
        <v>475.92</v>
      </c>
      <c r="G230" s="14">
        <v>475.92</v>
      </c>
      <c r="H230" s="14">
        <v>475.92</v>
      </c>
      <c r="I230" s="14">
        <v>475.92</v>
      </c>
      <c r="J230" s="14">
        <f>+I230</f>
        <v>475.92</v>
      </c>
      <c r="K230" s="14">
        <f t="shared" si="52"/>
        <v>475.92</v>
      </c>
      <c r="L230" s="14">
        <f t="shared" si="52"/>
        <v>475.92</v>
      </c>
      <c r="M230" s="14">
        <f t="shared" si="52"/>
        <v>475.92</v>
      </c>
      <c r="N230" s="14">
        <f t="shared" si="52"/>
        <v>475.92</v>
      </c>
    </row>
    <row r="231" spans="2:14" s="2" customFormat="1" ht="12.95" hidden="1" customHeight="1">
      <c r="B231" s="27" t="s">
        <v>80</v>
      </c>
      <c r="C231" s="11">
        <f t="shared" si="51"/>
        <v>0</v>
      </c>
      <c r="E231" s="27" t="s">
        <v>80</v>
      </c>
      <c r="F231" s="14"/>
      <c r="G231" s="14"/>
      <c r="H231" s="14"/>
      <c r="I231" s="14"/>
      <c r="J231" s="14">
        <f>+I231</f>
        <v>0</v>
      </c>
      <c r="K231" s="14">
        <f>+J231</f>
        <v>0</v>
      </c>
      <c r="L231" s="14">
        <f>+K231</f>
        <v>0</v>
      </c>
      <c r="M231" s="14">
        <f>+L231</f>
        <v>0</v>
      </c>
      <c r="N231" s="14">
        <f>+M231</f>
        <v>0</v>
      </c>
    </row>
    <row r="232" spans="2:14" s="2" customFormat="1" ht="12.95" hidden="1" customHeight="1">
      <c r="B232" s="27" t="s">
        <v>26</v>
      </c>
      <c r="C232" s="11">
        <f t="shared" si="51"/>
        <v>75.48</v>
      </c>
      <c r="E232" s="27" t="s">
        <v>26</v>
      </c>
      <c r="F232" s="85">
        <v>75.48</v>
      </c>
      <c r="G232" s="14">
        <f t="shared" ref="G232:I237" si="53">+F232</f>
        <v>75.48</v>
      </c>
      <c r="H232" s="14">
        <f t="shared" si="53"/>
        <v>75.48</v>
      </c>
      <c r="I232" s="14">
        <f t="shared" si="53"/>
        <v>75.48</v>
      </c>
      <c r="J232" s="14">
        <f t="shared" ref="J232:N237" si="54">+I232</f>
        <v>75.48</v>
      </c>
      <c r="K232" s="14">
        <f t="shared" si="54"/>
        <v>75.48</v>
      </c>
      <c r="L232" s="14">
        <f t="shared" si="54"/>
        <v>75.48</v>
      </c>
      <c r="M232" s="14">
        <f t="shared" si="54"/>
        <v>75.48</v>
      </c>
      <c r="N232" s="14">
        <f t="shared" si="54"/>
        <v>75.48</v>
      </c>
    </row>
    <row r="233" spans="2:14" s="2" customFormat="1" ht="12.95" hidden="1" customHeight="1">
      <c r="B233" s="27" t="s">
        <v>27</v>
      </c>
      <c r="C233" s="11">
        <f t="shared" si="51"/>
        <v>70.92</v>
      </c>
      <c r="E233" s="27" t="s">
        <v>27</v>
      </c>
      <c r="F233" s="85">
        <v>70.92</v>
      </c>
      <c r="G233" s="14">
        <f t="shared" si="53"/>
        <v>70.92</v>
      </c>
      <c r="H233" s="14">
        <f t="shared" si="53"/>
        <v>70.92</v>
      </c>
      <c r="I233" s="14">
        <f t="shared" si="53"/>
        <v>70.92</v>
      </c>
      <c r="J233" s="14">
        <f t="shared" si="54"/>
        <v>70.92</v>
      </c>
      <c r="K233" s="14">
        <f t="shared" si="54"/>
        <v>70.92</v>
      </c>
      <c r="L233" s="14">
        <f t="shared" si="54"/>
        <v>70.92</v>
      </c>
      <c r="M233" s="14">
        <f t="shared" si="54"/>
        <v>70.92</v>
      </c>
      <c r="N233" s="14">
        <f t="shared" si="54"/>
        <v>70.92</v>
      </c>
    </row>
    <row r="234" spans="2:14" s="2" customFormat="1" ht="12.95" hidden="1" customHeight="1">
      <c r="B234" s="27" t="s">
        <v>28</v>
      </c>
      <c r="C234" s="11">
        <f t="shared" si="51"/>
        <v>94.51</v>
      </c>
      <c r="E234" s="27" t="s">
        <v>28</v>
      </c>
      <c r="F234" s="85">
        <v>94.51</v>
      </c>
      <c r="G234" s="14">
        <f t="shared" si="53"/>
        <v>94.51</v>
      </c>
      <c r="H234" s="14">
        <f t="shared" si="53"/>
        <v>94.51</v>
      </c>
      <c r="I234" s="14">
        <f t="shared" si="53"/>
        <v>94.51</v>
      </c>
      <c r="J234" s="14">
        <f t="shared" si="54"/>
        <v>94.51</v>
      </c>
      <c r="K234" s="14">
        <f t="shared" si="54"/>
        <v>94.51</v>
      </c>
      <c r="L234" s="14">
        <f t="shared" si="54"/>
        <v>94.51</v>
      </c>
      <c r="M234" s="14">
        <f t="shared" si="54"/>
        <v>94.51</v>
      </c>
      <c r="N234" s="14">
        <f t="shared" si="54"/>
        <v>94.51</v>
      </c>
    </row>
    <row r="235" spans="2:14" s="2" customFormat="1" ht="12.95" hidden="1" customHeight="1">
      <c r="B235" s="27" t="s">
        <v>29</v>
      </c>
      <c r="C235" s="11">
        <f t="shared" si="51"/>
        <v>129.34</v>
      </c>
      <c r="E235" s="27" t="s">
        <v>29</v>
      </c>
      <c r="F235" s="85">
        <v>129.34</v>
      </c>
      <c r="G235" s="14">
        <f t="shared" si="53"/>
        <v>129.34</v>
      </c>
      <c r="H235" s="14">
        <f t="shared" si="53"/>
        <v>129.34</v>
      </c>
      <c r="I235" s="14">
        <f t="shared" si="53"/>
        <v>129.34</v>
      </c>
      <c r="J235" s="14">
        <f t="shared" si="54"/>
        <v>129.34</v>
      </c>
      <c r="K235" s="14">
        <f t="shared" si="54"/>
        <v>129.34</v>
      </c>
      <c r="L235" s="14">
        <f t="shared" si="54"/>
        <v>129.34</v>
      </c>
      <c r="M235" s="14">
        <f t="shared" si="54"/>
        <v>129.34</v>
      </c>
      <c r="N235" s="14">
        <f t="shared" si="54"/>
        <v>129.34</v>
      </c>
    </row>
    <row r="236" spans="2:14" s="2" customFormat="1" ht="12.95" hidden="1" customHeight="1">
      <c r="B236" s="27" t="s">
        <v>30</v>
      </c>
      <c r="C236" s="11">
        <f t="shared" si="51"/>
        <v>49.64</v>
      </c>
      <c r="E236" s="27" t="s">
        <v>30</v>
      </c>
      <c r="F236" s="85">
        <v>49.64</v>
      </c>
      <c r="G236" s="14">
        <f t="shared" si="53"/>
        <v>49.64</v>
      </c>
      <c r="H236" s="14">
        <f t="shared" si="53"/>
        <v>49.64</v>
      </c>
      <c r="I236" s="14">
        <f t="shared" si="53"/>
        <v>49.64</v>
      </c>
      <c r="J236" s="14">
        <f t="shared" si="54"/>
        <v>49.64</v>
      </c>
      <c r="K236" s="14">
        <f t="shared" si="54"/>
        <v>49.64</v>
      </c>
      <c r="L236" s="14">
        <f t="shared" si="54"/>
        <v>49.64</v>
      </c>
      <c r="M236" s="14">
        <f t="shared" si="54"/>
        <v>49.64</v>
      </c>
      <c r="N236" s="14">
        <f t="shared" si="54"/>
        <v>49.64</v>
      </c>
    </row>
    <row r="237" spans="2:14" s="2" customFormat="1" ht="12.95" hidden="1" customHeight="1">
      <c r="B237" s="27" t="s">
        <v>32</v>
      </c>
      <c r="C237" s="11">
        <f t="shared" si="51"/>
        <v>0</v>
      </c>
      <c r="E237" s="27" t="s">
        <v>32</v>
      </c>
      <c r="F237" s="14"/>
      <c r="G237" s="14">
        <f t="shared" si="53"/>
        <v>0</v>
      </c>
      <c r="H237" s="14">
        <f t="shared" si="53"/>
        <v>0</v>
      </c>
      <c r="I237" s="14">
        <f t="shared" si="53"/>
        <v>0</v>
      </c>
      <c r="J237" s="14">
        <f t="shared" si="54"/>
        <v>0</v>
      </c>
      <c r="K237" s="14">
        <f t="shared" si="54"/>
        <v>0</v>
      </c>
      <c r="L237" s="14">
        <f t="shared" si="54"/>
        <v>0</v>
      </c>
      <c r="M237" s="14">
        <f t="shared" si="54"/>
        <v>0</v>
      </c>
      <c r="N237" s="14">
        <f t="shared" si="54"/>
        <v>0</v>
      </c>
    </row>
    <row r="238" spans="2:14" s="2" customFormat="1" ht="12.95" hidden="1" customHeight="1">
      <c r="B238" s="28" t="s">
        <v>6</v>
      </c>
      <c r="C238" s="11">
        <f t="shared" si="51"/>
        <v>0</v>
      </c>
      <c r="E238" s="28" t="s">
        <v>6</v>
      </c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2:14" s="2" customFormat="1" ht="12.95" hidden="1" customHeight="1">
      <c r="B239" s="28" t="s">
        <v>7</v>
      </c>
      <c r="C239" s="11">
        <f t="shared" si="51"/>
        <v>0</v>
      </c>
      <c r="E239" s="28" t="s">
        <v>7</v>
      </c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2:14" s="2" customFormat="1" ht="12.95" hidden="1" customHeight="1">
      <c r="B240" s="28" t="s">
        <v>8</v>
      </c>
      <c r="C240" s="11">
        <f t="shared" si="51"/>
        <v>0</v>
      </c>
      <c r="E240" s="28" t="s">
        <v>8</v>
      </c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2:14" s="2" customFormat="1" ht="12.95" hidden="1" customHeight="1">
      <c r="B241" s="29" t="s">
        <v>77</v>
      </c>
      <c r="C241" s="11">
        <f t="shared" si="51"/>
        <v>0</v>
      </c>
      <c r="E241" s="29" t="s">
        <v>77</v>
      </c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2:14" s="2" customFormat="1" ht="12.95" hidden="1" customHeight="1">
      <c r="B242" s="30" t="s">
        <v>81</v>
      </c>
      <c r="C242" s="11">
        <f t="shared" si="51"/>
        <v>0</v>
      </c>
      <c r="E242" s="30" t="s">
        <v>81</v>
      </c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2:14" s="2" customFormat="1" ht="12.95" hidden="1" customHeight="1">
      <c r="B243" s="30" t="s">
        <v>78</v>
      </c>
      <c r="C243" s="11">
        <f t="shared" si="51"/>
        <v>0</v>
      </c>
      <c r="E243" s="30" t="s">
        <v>78</v>
      </c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2:14" s="2" customFormat="1" ht="12.95" hidden="1" customHeight="1">
      <c r="B244" s="30" t="s">
        <v>82</v>
      </c>
      <c r="C244" s="11">
        <f t="shared" si="51"/>
        <v>0</v>
      </c>
      <c r="E244" s="30" t="s">
        <v>82</v>
      </c>
      <c r="F244" s="21"/>
      <c r="G244" s="21"/>
      <c r="H244" s="21"/>
      <c r="I244" s="14"/>
      <c r="J244" s="14"/>
      <c r="K244" s="14"/>
      <c r="L244" s="14"/>
      <c r="M244" s="14"/>
      <c r="N244" s="14"/>
    </row>
    <row r="245" spans="2:14" s="2" customFormat="1" ht="12.95" hidden="1" customHeight="1">
      <c r="B245" s="31" t="s">
        <v>79</v>
      </c>
      <c r="C245" s="11">
        <f t="shared" si="51"/>
        <v>0</v>
      </c>
      <c r="E245" s="31" t="s">
        <v>79</v>
      </c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2:14" s="2" customFormat="1" ht="12.95" hidden="1" customHeight="1">
      <c r="B246" s="22" t="s">
        <v>9</v>
      </c>
      <c r="C246" s="11">
        <f t="shared" si="51"/>
        <v>-37.67</v>
      </c>
      <c r="E246" s="22" t="s">
        <v>9</v>
      </c>
      <c r="F246" s="20">
        <v>-37.67</v>
      </c>
      <c r="G246" s="20">
        <v>-37.67</v>
      </c>
      <c r="H246" s="20">
        <v>-37.67</v>
      </c>
      <c r="I246" s="20">
        <v>-47.86</v>
      </c>
      <c r="J246" s="20">
        <v>-47.86</v>
      </c>
      <c r="K246" s="20">
        <v>-47.86</v>
      </c>
      <c r="L246" s="20">
        <v>-47.86</v>
      </c>
      <c r="M246" s="20">
        <v>-47.86</v>
      </c>
      <c r="N246" s="20">
        <v>-47.86</v>
      </c>
    </row>
    <row r="247" spans="2:14" s="2" customFormat="1" ht="12.95" hidden="1" customHeight="1">
      <c r="B247" s="22" t="s">
        <v>16</v>
      </c>
      <c r="C247" s="11">
        <f t="shared" si="51"/>
        <v>-86.03</v>
      </c>
      <c r="E247" s="22" t="s">
        <v>16</v>
      </c>
      <c r="F247" s="20">
        <v>-86.03</v>
      </c>
      <c r="G247" s="20">
        <v>-86.03</v>
      </c>
      <c r="H247" s="20">
        <v>-86.03</v>
      </c>
      <c r="I247" s="20">
        <v>-109.31</v>
      </c>
      <c r="J247" s="20">
        <v>-109.31</v>
      </c>
      <c r="K247" s="20">
        <v>-109.31</v>
      </c>
      <c r="L247" s="20">
        <v>-109.31</v>
      </c>
      <c r="M247" s="20">
        <v>-109.31</v>
      </c>
      <c r="N247" s="20">
        <v>-109.31</v>
      </c>
    </row>
    <row r="248" spans="2:14" hidden="1">
      <c r="B248" s="1" t="s">
        <v>18</v>
      </c>
      <c r="C248" s="11">
        <f>IF($C$11=$F$11,F248,IF($C$11=G$11,G248,IF($C$11=H$11,H248,IF($C$11=I$11,I248,IF($C$11=J$11,J248,IF($C$11=K$11,K248,IF($C$11=L$11,L248,IF($C$11=M$11,M248,N248))))))))</f>
        <v>34199.119667999999</v>
      </c>
      <c r="E248" s="32" t="s">
        <v>18</v>
      </c>
      <c r="F248" s="82">
        <f>+F250-F249</f>
        <v>34199.119667999999</v>
      </c>
      <c r="G248" s="82">
        <f t="shared" ref="G248:N248" si="55">+G250-G249</f>
        <v>35687.080267999991</v>
      </c>
      <c r="H248" s="82">
        <f t="shared" si="55"/>
        <v>35687.080267999991</v>
      </c>
      <c r="I248" s="82">
        <f t="shared" si="55"/>
        <v>37966.851867999998</v>
      </c>
      <c r="J248" s="82">
        <f t="shared" si="55"/>
        <v>37966.851867999998</v>
      </c>
      <c r="K248" s="82">
        <f t="shared" si="55"/>
        <v>37966.851867999998</v>
      </c>
      <c r="L248" s="82">
        <f t="shared" si="55"/>
        <v>37966.851867999998</v>
      </c>
      <c r="M248" s="82">
        <f t="shared" si="55"/>
        <v>37966.851867999998</v>
      </c>
      <c r="N248" s="82">
        <f t="shared" si="55"/>
        <v>37966.851867999998</v>
      </c>
    </row>
    <row r="249" spans="2:14" hidden="1">
      <c r="F249" s="82">
        <f t="shared" ref="F249:N249" si="56">(+F250*3%)</f>
        <v>1057.7047319999999</v>
      </c>
      <c r="G249" s="82">
        <f t="shared" si="56"/>
        <v>1103.7241319999998</v>
      </c>
      <c r="H249" s="82">
        <f t="shared" si="56"/>
        <v>1103.7241319999998</v>
      </c>
      <c r="I249" s="82">
        <f t="shared" si="56"/>
        <v>1174.232532</v>
      </c>
      <c r="J249" s="82">
        <f t="shared" si="56"/>
        <v>1174.232532</v>
      </c>
      <c r="K249" s="82">
        <f t="shared" si="56"/>
        <v>1174.232532</v>
      </c>
      <c r="L249" s="82">
        <f t="shared" si="56"/>
        <v>1174.232532</v>
      </c>
      <c r="M249" s="82">
        <f t="shared" si="56"/>
        <v>1174.232532</v>
      </c>
      <c r="N249" s="82">
        <f t="shared" si="56"/>
        <v>1174.232532</v>
      </c>
    </row>
    <row r="250" spans="2:14" hidden="1">
      <c r="F250" s="82">
        <f t="shared" ref="F250:N250" si="57">((+F224+F228+F229+F230)*12)+(F226*INT($C$3/3)*12)+((F225+F228)*2)+((F229+F230)*0.78*2)+(F227*INT($C$3/3)*2)+(IF($C$6="s",(F239+12)+(F240*INT($C$3/3)*12),F238*12))+(IF($C$4="s",F241,0))+(((IF(INT($C$3/3)&lt;6,F231,0))+(IF(AND(INT($C$3/6)&gt;0,INT($C$3/6)&lt;2),F232,0))+(IF(AND(INT($C$3/6)&gt;1,INT($C$3/6)&lt;3),F232+F233,0))+(IF(AND(INT($C$3/6)&gt;2,INT($C$3/6)&lt;4),F232+F233+F234,0))+(IF(AND(INT($C$3/6)&gt;3,INT($C$3/6)&lt;5),F232+F233+F234+F235,0))+(IF(INT($C$3/6)&gt;4,F232+F233+F234+F235+F236,0)))*12)+(IF($C$7="s",F237*12,0))++(((IF(INT($C$3/3)&lt;6,F231,0))+(IF(AND(INT($C$3/6)&gt;0,INT($C$3/6)&lt;2),F232,0))+(IF(AND(INT($C$3/6)&gt;1,INT($C$3/6)&lt;3),F232+F233,0))+(IF(AND(INT($C$3/6)&gt;2,INT($C$3/6)&lt;4),F232+F233+F234,0))+(IF(AND(INT($C$3/6)&gt;3,INT($C$3/6)&lt;5),F232+F233+F234+F235,0))+(IF(INT($C$3/6)&gt;4,F232+F233+F234+F235+F236,0)))*2*0.78)+(F242*12)+(F243*2)</f>
        <v>35256.824399999998</v>
      </c>
      <c r="G250" s="82">
        <f t="shared" si="57"/>
        <v>36790.804399999994</v>
      </c>
      <c r="H250" s="82">
        <f t="shared" si="57"/>
        <v>36790.804399999994</v>
      </c>
      <c r="I250" s="82">
        <f t="shared" si="57"/>
        <v>39141.0844</v>
      </c>
      <c r="J250" s="82">
        <f t="shared" si="57"/>
        <v>39141.0844</v>
      </c>
      <c r="K250" s="82">
        <f t="shared" si="57"/>
        <v>39141.0844</v>
      </c>
      <c r="L250" s="82">
        <f t="shared" si="57"/>
        <v>39141.0844</v>
      </c>
      <c r="M250" s="82">
        <f t="shared" si="57"/>
        <v>39141.0844</v>
      </c>
      <c r="N250" s="82">
        <f t="shared" si="57"/>
        <v>39141.0844</v>
      </c>
    </row>
    <row r="251" spans="2:14" hidden="1"/>
    <row r="252" spans="2:14" hidden="1"/>
    <row r="253" spans="2:14" hidden="1"/>
    <row r="254" spans="2:14" hidden="1"/>
    <row r="255" spans="2:14" s="2" customFormat="1" ht="12.95" hidden="1" customHeight="1">
      <c r="B255" s="3"/>
      <c r="C255" s="2" t="str">
        <f>+E256</f>
        <v>Castilla y León</v>
      </c>
    </row>
    <row r="256" spans="2:14" s="2" customFormat="1" ht="35.25" hidden="1" customHeight="1">
      <c r="C256" s="7" t="str">
        <f>+$C$11</f>
        <v>597-Maestros</v>
      </c>
      <c r="E256" s="15" t="s">
        <v>41</v>
      </c>
      <c r="F256" s="6" t="s">
        <v>60</v>
      </c>
      <c r="G256" s="6" t="s">
        <v>55</v>
      </c>
      <c r="H256" s="6" t="s">
        <v>59</v>
      </c>
      <c r="I256" s="6" t="s">
        <v>54</v>
      </c>
      <c r="J256" s="6" t="s">
        <v>56</v>
      </c>
      <c r="K256" s="6" t="s">
        <v>57</v>
      </c>
      <c r="L256" s="6" t="s">
        <v>58</v>
      </c>
      <c r="M256" s="6" t="s">
        <v>53</v>
      </c>
      <c r="N256" s="6" t="s">
        <v>52</v>
      </c>
    </row>
    <row r="257" spans="2:14" s="2" customFormat="1" ht="12.95" hidden="1" customHeight="1">
      <c r="B257" s="12" t="s">
        <v>1</v>
      </c>
      <c r="C257" s="11" t="str">
        <f t="shared" ref="C257:C283" si="58">IF($C$11=$F$11,F257,IF($C$11=G$11,G257,IF($C$11=H$11,H257,IF($C$11=I$11,I257,IF($C$11=J$11,J257,IF($C$11=K$11,K257,IF($C$11=L$11,L257,IF($C$11=M$11,M257,N257))))))))</f>
        <v>A2</v>
      </c>
      <c r="E257" s="5" t="s">
        <v>1</v>
      </c>
      <c r="F257" s="4" t="s">
        <v>61</v>
      </c>
      <c r="G257" s="4" t="s">
        <v>61</v>
      </c>
      <c r="H257" s="4" t="s">
        <v>61</v>
      </c>
      <c r="I257" s="4" t="s">
        <v>17</v>
      </c>
      <c r="J257" s="4" t="s">
        <v>17</v>
      </c>
      <c r="K257" s="4" t="s">
        <v>17</v>
      </c>
      <c r="L257" s="4" t="s">
        <v>17</v>
      </c>
      <c r="M257" s="4" t="s">
        <v>17</v>
      </c>
      <c r="N257" s="4" t="s">
        <v>17</v>
      </c>
    </row>
    <row r="258" spans="2:14" s="2" customFormat="1" ht="12.95" hidden="1" customHeight="1">
      <c r="B258" s="12" t="str">
        <f>+E258</f>
        <v>Nivel</v>
      </c>
      <c r="C258" s="11">
        <f t="shared" si="58"/>
        <v>21</v>
      </c>
      <c r="E258" s="5" t="s">
        <v>0</v>
      </c>
      <c r="F258" s="4">
        <v>21</v>
      </c>
      <c r="G258" s="4">
        <v>24</v>
      </c>
      <c r="H258" s="4">
        <v>24</v>
      </c>
      <c r="I258" s="4">
        <v>24</v>
      </c>
      <c r="J258" s="4">
        <v>24</v>
      </c>
      <c r="K258" s="4">
        <v>24</v>
      </c>
      <c r="L258" s="4">
        <v>24</v>
      </c>
      <c r="M258" s="4">
        <v>26</v>
      </c>
      <c r="N258" s="4">
        <v>26</v>
      </c>
    </row>
    <row r="259" spans="2:14" s="2" customFormat="1" ht="12.95" hidden="1" customHeight="1">
      <c r="B259" s="13" t="s">
        <v>2</v>
      </c>
      <c r="C259" s="11">
        <f t="shared" si="58"/>
        <v>958.98</v>
      </c>
      <c r="E259" s="13" t="s">
        <v>2</v>
      </c>
      <c r="F259" s="14">
        <v>958.98</v>
      </c>
      <c r="G259" s="14">
        <v>958.98</v>
      </c>
      <c r="H259" s="14">
        <v>958.98</v>
      </c>
      <c r="I259" s="14">
        <v>1109.0999999999999</v>
      </c>
      <c r="J259" s="14">
        <f t="shared" ref="J259:N265" si="59">+I259</f>
        <v>1109.0999999999999</v>
      </c>
      <c r="K259" s="14">
        <f t="shared" si="59"/>
        <v>1109.0999999999999</v>
      </c>
      <c r="L259" s="14">
        <f t="shared" si="59"/>
        <v>1109.0999999999999</v>
      </c>
      <c r="M259" s="14">
        <f t="shared" si="59"/>
        <v>1109.0999999999999</v>
      </c>
      <c r="N259" s="14">
        <f t="shared" si="59"/>
        <v>1109.0999999999999</v>
      </c>
    </row>
    <row r="260" spans="2:14" s="2" customFormat="1" ht="12.95" hidden="1" customHeight="1">
      <c r="B260" s="13" t="s">
        <v>64</v>
      </c>
      <c r="C260" s="11">
        <f t="shared" si="58"/>
        <v>699.38</v>
      </c>
      <c r="E260" s="13" t="s">
        <v>64</v>
      </c>
      <c r="F260" s="19">
        <v>699.38</v>
      </c>
      <c r="G260" s="19">
        <v>699.38</v>
      </c>
      <c r="H260" s="19">
        <v>699.38</v>
      </c>
      <c r="I260" s="19">
        <v>684.36</v>
      </c>
      <c r="J260" s="14">
        <f t="shared" si="59"/>
        <v>684.36</v>
      </c>
      <c r="K260" s="14">
        <f t="shared" si="59"/>
        <v>684.36</v>
      </c>
      <c r="L260" s="14">
        <f t="shared" si="59"/>
        <v>684.36</v>
      </c>
      <c r="M260" s="14">
        <f t="shared" si="59"/>
        <v>684.36</v>
      </c>
      <c r="N260" s="14">
        <f t="shared" si="59"/>
        <v>684.36</v>
      </c>
    </row>
    <row r="261" spans="2:14" s="2" customFormat="1" ht="12.95" hidden="1" customHeight="1">
      <c r="B261" s="13" t="s">
        <v>3</v>
      </c>
      <c r="C261" s="11">
        <f t="shared" si="58"/>
        <v>34.770000000000003</v>
      </c>
      <c r="E261" s="13" t="s">
        <v>3</v>
      </c>
      <c r="F261" s="14">
        <v>34.770000000000003</v>
      </c>
      <c r="G261" s="14">
        <v>34.770000000000003</v>
      </c>
      <c r="H261" s="14">
        <v>34.770000000000003</v>
      </c>
      <c r="I261" s="14">
        <v>42.65</v>
      </c>
      <c r="J261" s="14">
        <f t="shared" si="59"/>
        <v>42.65</v>
      </c>
      <c r="K261" s="14">
        <f t="shared" si="59"/>
        <v>42.65</v>
      </c>
      <c r="L261" s="14">
        <f t="shared" si="59"/>
        <v>42.65</v>
      </c>
      <c r="M261" s="14">
        <f t="shared" si="59"/>
        <v>42.65</v>
      </c>
      <c r="N261" s="14">
        <f t="shared" si="59"/>
        <v>42.65</v>
      </c>
    </row>
    <row r="262" spans="2:14" s="2" customFormat="1" ht="12.95" hidden="1" customHeight="1">
      <c r="B262" s="13" t="s">
        <v>65</v>
      </c>
      <c r="C262" s="11">
        <f t="shared" si="58"/>
        <v>25.35</v>
      </c>
      <c r="E262" s="13" t="s">
        <v>65</v>
      </c>
      <c r="F262" s="19">
        <v>25.35</v>
      </c>
      <c r="G262" s="19">
        <v>25.35</v>
      </c>
      <c r="H262" s="19">
        <v>25.35</v>
      </c>
      <c r="I262" s="19">
        <v>26.31</v>
      </c>
      <c r="J262" s="14">
        <f t="shared" si="59"/>
        <v>26.31</v>
      </c>
      <c r="K262" s="14">
        <f t="shared" si="59"/>
        <v>26.31</v>
      </c>
      <c r="L262" s="14">
        <f t="shared" si="59"/>
        <v>26.31</v>
      </c>
      <c r="M262" s="14">
        <f t="shared" si="59"/>
        <v>26.31</v>
      </c>
      <c r="N262" s="14">
        <f t="shared" si="59"/>
        <v>26.31</v>
      </c>
    </row>
    <row r="263" spans="2:14" s="2" customFormat="1" ht="12.95" hidden="1" customHeight="1">
      <c r="B263" s="13" t="s">
        <v>4</v>
      </c>
      <c r="C263" s="11">
        <f t="shared" si="58"/>
        <v>473.35</v>
      </c>
      <c r="E263" s="13" t="s">
        <v>4</v>
      </c>
      <c r="F263" s="14">
        <v>473.35</v>
      </c>
      <c r="G263" s="14">
        <v>582.91999999999996</v>
      </c>
      <c r="H263" s="14">
        <v>582.91999999999996</v>
      </c>
      <c r="I263" s="14">
        <v>582.91999999999996</v>
      </c>
      <c r="J263" s="14">
        <f t="shared" si="59"/>
        <v>582.91999999999996</v>
      </c>
      <c r="K263" s="14">
        <f t="shared" si="59"/>
        <v>582.91999999999996</v>
      </c>
      <c r="L263" s="14">
        <f t="shared" si="59"/>
        <v>582.91999999999996</v>
      </c>
      <c r="M263" s="14">
        <f t="shared" si="59"/>
        <v>582.91999999999996</v>
      </c>
      <c r="N263" s="14">
        <f t="shared" si="59"/>
        <v>582.91999999999996</v>
      </c>
    </row>
    <row r="264" spans="2:14" s="2" customFormat="1" ht="12.95" hidden="1" customHeight="1">
      <c r="B264" s="13" t="s">
        <v>5</v>
      </c>
      <c r="C264" s="11">
        <f t="shared" si="58"/>
        <v>235.18</v>
      </c>
      <c r="E264" s="13" t="s">
        <v>5</v>
      </c>
      <c r="F264" s="14">
        <v>235.18</v>
      </c>
      <c r="G264" s="14">
        <v>235.18</v>
      </c>
      <c r="H264" s="14">
        <f>+G264</f>
        <v>235.18</v>
      </c>
      <c r="I264" s="14">
        <f t="shared" ref="I264" si="60">+H264</f>
        <v>235.18</v>
      </c>
      <c r="J264" s="14">
        <f t="shared" si="59"/>
        <v>235.18</v>
      </c>
      <c r="K264" s="14">
        <f t="shared" si="59"/>
        <v>235.18</v>
      </c>
      <c r="L264" s="14">
        <f t="shared" si="59"/>
        <v>235.18</v>
      </c>
      <c r="M264" s="14">
        <f t="shared" si="59"/>
        <v>235.18</v>
      </c>
      <c r="N264" s="14">
        <f t="shared" si="59"/>
        <v>235.18</v>
      </c>
    </row>
    <row r="265" spans="2:14" s="2" customFormat="1" ht="12.95" hidden="1" customHeight="1">
      <c r="B265" s="27" t="s">
        <v>66</v>
      </c>
      <c r="C265" s="11">
        <f t="shared" si="58"/>
        <v>326.39</v>
      </c>
      <c r="E265" s="27" t="s">
        <v>66</v>
      </c>
      <c r="F265" s="14">
        <v>326.39</v>
      </c>
      <c r="G265" s="14">
        <v>326.39</v>
      </c>
      <c r="H265" s="14">
        <f>+G265</f>
        <v>326.39</v>
      </c>
      <c r="I265" s="14">
        <v>327.47000000000003</v>
      </c>
      <c r="J265" s="14">
        <f t="shared" si="59"/>
        <v>327.47000000000003</v>
      </c>
      <c r="K265" s="14">
        <f t="shared" si="59"/>
        <v>327.47000000000003</v>
      </c>
      <c r="L265" s="14">
        <f t="shared" si="59"/>
        <v>327.47000000000003</v>
      </c>
      <c r="M265" s="14">
        <f t="shared" si="59"/>
        <v>327.47000000000003</v>
      </c>
      <c r="N265" s="14">
        <f t="shared" si="59"/>
        <v>327.47000000000003</v>
      </c>
    </row>
    <row r="266" spans="2:14" s="2" customFormat="1" ht="12.95" hidden="1" customHeight="1">
      <c r="B266" s="27" t="s">
        <v>80</v>
      </c>
      <c r="C266" s="11">
        <f t="shared" si="58"/>
        <v>0</v>
      </c>
      <c r="E266" s="27" t="s">
        <v>80</v>
      </c>
      <c r="F266" s="14"/>
      <c r="G266" s="14"/>
      <c r="H266" s="14"/>
      <c r="I266" s="14"/>
      <c r="J266" s="14">
        <f>+I266</f>
        <v>0</v>
      </c>
      <c r="K266" s="14">
        <f>+J266</f>
        <v>0</v>
      </c>
      <c r="L266" s="14">
        <f>+K266</f>
        <v>0</v>
      </c>
      <c r="M266" s="14">
        <f>+L266</f>
        <v>0</v>
      </c>
      <c r="N266" s="14">
        <f>+M266</f>
        <v>0</v>
      </c>
    </row>
    <row r="267" spans="2:14" s="2" customFormat="1" ht="12.95" hidden="1" customHeight="1">
      <c r="B267" s="27" t="s">
        <v>26</v>
      </c>
      <c r="C267" s="11">
        <f t="shared" si="58"/>
        <v>56.1</v>
      </c>
      <c r="E267" s="27" t="s">
        <v>26</v>
      </c>
      <c r="F267" s="85">
        <v>56.1</v>
      </c>
      <c r="G267" s="14">
        <f t="shared" ref="G267:I272" si="61">+F267</f>
        <v>56.1</v>
      </c>
      <c r="H267" s="14">
        <f t="shared" si="61"/>
        <v>56.1</v>
      </c>
      <c r="I267" s="14">
        <f t="shared" si="61"/>
        <v>56.1</v>
      </c>
      <c r="J267" s="14">
        <f t="shared" ref="J267:N272" si="62">+I267</f>
        <v>56.1</v>
      </c>
      <c r="K267" s="14">
        <f t="shared" si="62"/>
        <v>56.1</v>
      </c>
      <c r="L267" s="14">
        <f t="shared" si="62"/>
        <v>56.1</v>
      </c>
      <c r="M267" s="14">
        <f t="shared" si="62"/>
        <v>56.1</v>
      </c>
      <c r="N267" s="14">
        <f t="shared" si="62"/>
        <v>56.1</v>
      </c>
    </row>
    <row r="268" spans="2:14" s="2" customFormat="1" ht="12.95" hidden="1" customHeight="1">
      <c r="B268" s="27" t="s">
        <v>27</v>
      </c>
      <c r="C268" s="11">
        <f t="shared" si="58"/>
        <v>70.78</v>
      </c>
      <c r="E268" s="27" t="s">
        <v>27</v>
      </c>
      <c r="F268" s="85">
        <v>70.78</v>
      </c>
      <c r="G268" s="14">
        <f t="shared" si="61"/>
        <v>70.78</v>
      </c>
      <c r="H268" s="14">
        <f t="shared" si="61"/>
        <v>70.78</v>
      </c>
      <c r="I268" s="14">
        <f t="shared" si="61"/>
        <v>70.78</v>
      </c>
      <c r="J268" s="14">
        <f t="shared" si="62"/>
        <v>70.78</v>
      </c>
      <c r="K268" s="14">
        <f t="shared" si="62"/>
        <v>70.78</v>
      </c>
      <c r="L268" s="14">
        <f t="shared" si="62"/>
        <v>70.78</v>
      </c>
      <c r="M268" s="14">
        <f t="shared" si="62"/>
        <v>70.78</v>
      </c>
      <c r="N268" s="14">
        <f t="shared" si="62"/>
        <v>70.78</v>
      </c>
    </row>
    <row r="269" spans="2:14" s="2" customFormat="1" ht="12.95" hidden="1" customHeight="1">
      <c r="B269" s="27" t="s">
        <v>28</v>
      </c>
      <c r="C269" s="11">
        <f t="shared" si="58"/>
        <v>94.32</v>
      </c>
      <c r="E269" s="27" t="s">
        <v>28</v>
      </c>
      <c r="F269" s="85">
        <v>94.32</v>
      </c>
      <c r="G269" s="14">
        <f t="shared" si="61"/>
        <v>94.32</v>
      </c>
      <c r="H269" s="14">
        <f t="shared" si="61"/>
        <v>94.32</v>
      </c>
      <c r="I269" s="14">
        <f t="shared" si="61"/>
        <v>94.32</v>
      </c>
      <c r="J269" s="14">
        <f t="shared" si="62"/>
        <v>94.32</v>
      </c>
      <c r="K269" s="14">
        <f t="shared" si="62"/>
        <v>94.32</v>
      </c>
      <c r="L269" s="14">
        <f t="shared" si="62"/>
        <v>94.32</v>
      </c>
      <c r="M269" s="14">
        <f t="shared" si="62"/>
        <v>94.32</v>
      </c>
      <c r="N269" s="14">
        <f t="shared" si="62"/>
        <v>94.32</v>
      </c>
    </row>
    <row r="270" spans="2:14" s="2" customFormat="1" ht="12.95" hidden="1" customHeight="1">
      <c r="B270" s="27" t="s">
        <v>29</v>
      </c>
      <c r="C270" s="11">
        <f t="shared" si="58"/>
        <v>129.07</v>
      </c>
      <c r="E270" s="27" t="s">
        <v>29</v>
      </c>
      <c r="F270" s="85">
        <v>129.07</v>
      </c>
      <c r="G270" s="14">
        <f t="shared" si="61"/>
        <v>129.07</v>
      </c>
      <c r="H270" s="14">
        <f t="shared" si="61"/>
        <v>129.07</v>
      </c>
      <c r="I270" s="14">
        <f t="shared" si="61"/>
        <v>129.07</v>
      </c>
      <c r="J270" s="14">
        <f t="shared" si="62"/>
        <v>129.07</v>
      </c>
      <c r="K270" s="14">
        <f t="shared" si="62"/>
        <v>129.07</v>
      </c>
      <c r="L270" s="14">
        <f t="shared" si="62"/>
        <v>129.07</v>
      </c>
      <c r="M270" s="14">
        <f t="shared" si="62"/>
        <v>129.07</v>
      </c>
      <c r="N270" s="14">
        <f t="shared" si="62"/>
        <v>129.07</v>
      </c>
    </row>
    <row r="271" spans="2:14" s="2" customFormat="1" ht="12.95" hidden="1" customHeight="1">
      <c r="B271" s="27" t="s">
        <v>30</v>
      </c>
      <c r="C271" s="11">
        <f t="shared" si="58"/>
        <v>38</v>
      </c>
      <c r="E271" s="27" t="s">
        <v>30</v>
      </c>
      <c r="F271" s="85">
        <v>38</v>
      </c>
      <c r="G271" s="14">
        <f t="shared" si="61"/>
        <v>38</v>
      </c>
      <c r="H271" s="14">
        <f t="shared" si="61"/>
        <v>38</v>
      </c>
      <c r="I271" s="14">
        <f t="shared" si="61"/>
        <v>38</v>
      </c>
      <c r="J271" s="14">
        <f t="shared" si="62"/>
        <v>38</v>
      </c>
      <c r="K271" s="14">
        <f t="shared" si="62"/>
        <v>38</v>
      </c>
      <c r="L271" s="14">
        <f t="shared" si="62"/>
        <v>38</v>
      </c>
      <c r="M271" s="14">
        <f t="shared" si="62"/>
        <v>38</v>
      </c>
      <c r="N271" s="14">
        <f t="shared" si="62"/>
        <v>38</v>
      </c>
    </row>
    <row r="272" spans="2:14" s="2" customFormat="1" ht="12.95" hidden="1" customHeight="1">
      <c r="B272" s="27" t="s">
        <v>32</v>
      </c>
      <c r="C272" s="11">
        <f t="shared" si="58"/>
        <v>0</v>
      </c>
      <c r="E272" s="27" t="s">
        <v>32</v>
      </c>
      <c r="F272" s="85"/>
      <c r="G272" s="14">
        <f t="shared" si="61"/>
        <v>0</v>
      </c>
      <c r="H272" s="14">
        <f t="shared" si="61"/>
        <v>0</v>
      </c>
      <c r="I272" s="14">
        <f t="shared" si="61"/>
        <v>0</v>
      </c>
      <c r="J272" s="14">
        <f t="shared" si="62"/>
        <v>0</v>
      </c>
      <c r="K272" s="14">
        <f t="shared" si="62"/>
        <v>0</v>
      </c>
      <c r="L272" s="14">
        <f t="shared" si="62"/>
        <v>0</v>
      </c>
      <c r="M272" s="14">
        <f t="shared" si="62"/>
        <v>0</v>
      </c>
      <c r="N272" s="14">
        <f t="shared" si="62"/>
        <v>0</v>
      </c>
    </row>
    <row r="273" spans="2:14" s="2" customFormat="1" ht="12.95" hidden="1" customHeight="1">
      <c r="B273" s="28" t="s">
        <v>6</v>
      </c>
      <c r="C273" s="11">
        <f t="shared" si="58"/>
        <v>0</v>
      </c>
      <c r="E273" s="28" t="s">
        <v>6</v>
      </c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2:14" s="2" customFormat="1" ht="12.95" hidden="1" customHeight="1">
      <c r="B274" s="28" t="s">
        <v>7</v>
      </c>
      <c r="C274" s="11">
        <f t="shared" si="58"/>
        <v>0</v>
      </c>
      <c r="E274" s="28" t="s">
        <v>7</v>
      </c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2:14" s="2" customFormat="1" ht="12.95" hidden="1" customHeight="1">
      <c r="B275" s="28" t="s">
        <v>8</v>
      </c>
      <c r="C275" s="11">
        <f t="shared" si="58"/>
        <v>0</v>
      </c>
      <c r="E275" s="28" t="s">
        <v>8</v>
      </c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2:14" s="2" customFormat="1" ht="12.95" hidden="1" customHeight="1">
      <c r="B276" s="29" t="s">
        <v>77</v>
      </c>
      <c r="C276" s="11">
        <f t="shared" si="58"/>
        <v>0</v>
      </c>
      <c r="E276" s="29" t="s">
        <v>77</v>
      </c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2:14" s="2" customFormat="1" ht="12.95" hidden="1" customHeight="1">
      <c r="B277" s="30" t="s">
        <v>81</v>
      </c>
      <c r="C277" s="11">
        <f t="shared" si="58"/>
        <v>20.18</v>
      </c>
      <c r="E277" s="30" t="s">
        <v>81</v>
      </c>
      <c r="F277" s="14">
        <v>20.18</v>
      </c>
      <c r="G277" s="14">
        <v>20.18</v>
      </c>
      <c r="H277" s="14">
        <v>20.18</v>
      </c>
      <c r="I277" s="14">
        <v>21.6</v>
      </c>
      <c r="J277" s="14">
        <f>+I277</f>
        <v>21.6</v>
      </c>
      <c r="K277" s="14">
        <f>+J277</f>
        <v>21.6</v>
      </c>
      <c r="L277" s="14">
        <f>+K277</f>
        <v>21.6</v>
      </c>
      <c r="M277" s="14">
        <f>+L277</f>
        <v>21.6</v>
      </c>
      <c r="N277" s="14">
        <f>+M277</f>
        <v>21.6</v>
      </c>
    </row>
    <row r="278" spans="2:14" s="2" customFormat="1" ht="12.95" hidden="1" customHeight="1">
      <c r="B278" s="30" t="s">
        <v>78</v>
      </c>
      <c r="C278" s="11">
        <f t="shared" si="58"/>
        <v>0</v>
      </c>
      <c r="E278" s="30" t="s">
        <v>78</v>
      </c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2:14" s="2" customFormat="1" ht="12.95" hidden="1" customHeight="1">
      <c r="B279" s="30" t="s">
        <v>82</v>
      </c>
      <c r="C279" s="11">
        <f t="shared" si="58"/>
        <v>0</v>
      </c>
      <c r="E279" s="30" t="s">
        <v>82</v>
      </c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2:14" s="2" customFormat="1" ht="12.95" hidden="1" customHeight="1">
      <c r="B280" s="31" t="s">
        <v>79</v>
      </c>
      <c r="C280" s="11">
        <f t="shared" si="58"/>
        <v>0</v>
      </c>
      <c r="E280" s="31" t="s">
        <v>79</v>
      </c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2:14" s="2" customFormat="1" ht="12.95" hidden="1" customHeight="1">
      <c r="B281" s="22" t="s">
        <v>9</v>
      </c>
      <c r="C281" s="11">
        <f t="shared" si="58"/>
        <v>-37.67</v>
      </c>
      <c r="E281" s="22" t="s">
        <v>9</v>
      </c>
      <c r="F281" s="20">
        <v>-37.67</v>
      </c>
      <c r="G281" s="20">
        <v>-37.67</v>
      </c>
      <c r="H281" s="20">
        <v>-37.67</v>
      </c>
      <c r="I281" s="20">
        <v>-47.86</v>
      </c>
      <c r="J281" s="20">
        <v>-47.86</v>
      </c>
      <c r="K281" s="20">
        <v>-47.86</v>
      </c>
      <c r="L281" s="20">
        <v>-47.86</v>
      </c>
      <c r="M281" s="20">
        <v>-47.86</v>
      </c>
      <c r="N281" s="20">
        <v>-47.86</v>
      </c>
    </row>
    <row r="282" spans="2:14" s="2" customFormat="1" ht="12.95" hidden="1" customHeight="1">
      <c r="B282" s="22" t="s">
        <v>16</v>
      </c>
      <c r="C282" s="11">
        <f t="shared" si="58"/>
        <v>-86.03</v>
      </c>
      <c r="E282" s="22" t="s">
        <v>16</v>
      </c>
      <c r="F282" s="20">
        <v>-86.03</v>
      </c>
      <c r="G282" s="20">
        <v>-86.03</v>
      </c>
      <c r="H282" s="20">
        <v>-86.03</v>
      </c>
      <c r="I282" s="20">
        <v>-109.31</v>
      </c>
      <c r="J282" s="20">
        <v>-109.31</v>
      </c>
      <c r="K282" s="20">
        <v>-109.31</v>
      </c>
      <c r="L282" s="20">
        <v>-109.31</v>
      </c>
      <c r="M282" s="20">
        <v>-109.31</v>
      </c>
      <c r="N282" s="20">
        <v>-109.31</v>
      </c>
    </row>
    <row r="283" spans="2:14" hidden="1">
      <c r="B283" s="1" t="s">
        <v>18</v>
      </c>
      <c r="C283" s="11">
        <f t="shared" si="58"/>
        <v>33197.581200000008</v>
      </c>
      <c r="E283" s="32" t="s">
        <v>18</v>
      </c>
      <c r="F283" s="82">
        <f>((+F259+F263+F264+F265)*12)+(F261*INT($C$3/3)*12)+((F260+F263)*2)+((F264+F265)*0.78*2)+(F262*INT($C$3/3)*2)+(IF($C$6="s",(F274+12)+(F275*INT($C$3/3)*12),F273*12))+(IF($C$4="s",F276,0))+(((IF(INT($C$3/3)&lt;6,F266,0))+(IF(AND(INT($C$3/6)&gt;0,INT($C$3/6)&lt;2),F267,0))+(IF(AND(INT($C$3/6)&gt;1,INT($C$3/6)&lt;3),F267+F268,0))+(IF(AND(INT($C$3/6)&gt;2,INT($C$3/6)&lt;4),F267+F268+F269,0))+(IF(AND(INT($C$3/6)&gt;3,INT($C$3/6)&lt;5),F267+F268+F269+F270,0))+(IF(INT($C$3/6)&gt;4,F267+F268+F269+F270+F271,0)))*12)+(IF($C$7="s",F272*12,0))++(((IF(INT($C$3/3)&lt;6,F266,0))+(IF(AND(INT($C$3/6)&gt;0,INT($C$3/6)&lt;2),F267,0))+(IF(AND(INT($C$3/6)&gt;1,INT($C$3/6)&lt;3),F267+F268,0))+(IF(AND(INT($C$3/6)&gt;2,INT($C$3/6)&lt;4),F267+F268+F269,0))+(IF(AND(INT($C$3/6)&gt;3,INT($C$3/6)&lt;5),F267+F268+F269+F270,0))+(IF(INT($C$3/6)&gt;4,F267+F268+F269+F270+F271,0)))*2*0.78)+(F277*12)+(F278*2)</f>
        <v>33197.581200000008</v>
      </c>
      <c r="G283" s="82">
        <f t="shared" ref="G283:N283" si="63">((+G259+G263+G264+G265)*12)+(G261*INT($C$3/3)*12)+((G260+G263)*2)+((G264+G265)*0.78*2)+(G262*INT($C$3/3)*2)+(IF($C$6="s",(G274+12)+(G275*INT($C$3/3)*12),G273*12))+(IF($C$4="s",G276,0))+(((IF(INT($C$3/3)&lt;6,G266,0))+(IF(AND(INT($C$3/6)&gt;0,INT($C$3/6)&lt;2),G267,0))+(IF(AND(INT($C$3/6)&gt;1,INT($C$3/6)&lt;3),G267+G268,0))+(IF(AND(INT($C$3/6)&gt;2,INT($C$3/6)&lt;4),G267+G268+G269,0))+(IF(AND(INT($C$3/6)&gt;3,INT($C$3/6)&lt;5),G267+G268+G269+G270,0))+(IF(INT($C$3/6)&gt;4,G267+G268+G269+G270+G271,0)))*12)+(IF($C$7="s",G272*12,0))++(((IF(INT($C$3/3)&lt;6,G266,0))+(IF(AND(INT($C$3/6)&gt;0,INT($C$3/6)&lt;2),G267,0))+(IF(AND(INT($C$3/6)&gt;1,INT($C$3/6)&lt;3),G267+G268,0))+(IF(AND(INT($C$3/6)&gt;2,INT($C$3/6)&lt;4),G267+G268+G269,0))+(IF(AND(INT($C$3/6)&gt;3,INT($C$3/6)&lt;5),G267+G268+G269+G270,0))+(IF(INT($C$3/6)&gt;4,G267+G268+G269+G270+G271,0)))*2*0.78)+(G277*12)+(G278*2)</f>
        <v>34731.561200000004</v>
      </c>
      <c r="H283" s="82">
        <f t="shared" si="63"/>
        <v>34731.561200000004</v>
      </c>
      <c r="I283" s="82">
        <f t="shared" si="63"/>
        <v>37113.525999999998</v>
      </c>
      <c r="J283" s="82">
        <f t="shared" si="63"/>
        <v>37113.525999999998</v>
      </c>
      <c r="K283" s="82">
        <f t="shared" si="63"/>
        <v>37113.525999999998</v>
      </c>
      <c r="L283" s="82">
        <f t="shared" si="63"/>
        <v>37113.525999999998</v>
      </c>
      <c r="M283" s="82">
        <f t="shared" si="63"/>
        <v>37113.525999999998</v>
      </c>
      <c r="N283" s="82">
        <f t="shared" si="63"/>
        <v>37113.525999999998</v>
      </c>
    </row>
    <row r="284" spans="2:14" hidden="1"/>
    <row r="285" spans="2:14" hidden="1"/>
    <row r="286" spans="2:14" hidden="1"/>
    <row r="287" spans="2:14" hidden="1"/>
    <row r="288" spans="2:14" hidden="1"/>
    <row r="289" spans="2:14" hidden="1"/>
    <row r="290" spans="2:14" s="2" customFormat="1" ht="12.95" hidden="1" customHeight="1">
      <c r="B290" s="3"/>
      <c r="C290" s="2" t="str">
        <f>+E291</f>
        <v>Cataluña</v>
      </c>
    </row>
    <row r="291" spans="2:14" s="2" customFormat="1" ht="35.25" hidden="1" customHeight="1">
      <c r="C291" s="7" t="str">
        <f>+$C$11</f>
        <v>597-Maestros</v>
      </c>
      <c r="E291" s="15" t="s">
        <v>43</v>
      </c>
      <c r="F291" s="6" t="s">
        <v>60</v>
      </c>
      <c r="G291" s="6" t="s">
        <v>55</v>
      </c>
      <c r="H291" s="6" t="s">
        <v>59</v>
      </c>
      <c r="I291" s="6" t="s">
        <v>54</v>
      </c>
      <c r="J291" s="6" t="s">
        <v>56</v>
      </c>
      <c r="K291" s="6" t="s">
        <v>57</v>
      </c>
      <c r="L291" s="6" t="s">
        <v>58</v>
      </c>
      <c r="M291" s="6" t="s">
        <v>53</v>
      </c>
      <c r="N291" s="6" t="s">
        <v>52</v>
      </c>
    </row>
    <row r="292" spans="2:14" s="2" customFormat="1" ht="12.95" hidden="1" customHeight="1">
      <c r="B292" s="12" t="s">
        <v>1</v>
      </c>
      <c r="C292" s="11" t="str">
        <f t="shared" ref="C292:C318" si="64">IF($C$11=$F$11,F292,IF($C$11=G$11,G292,IF($C$11=H$11,H292,IF($C$11=I$11,I292,IF($C$11=J$11,J292,IF($C$11=K$11,K292,IF($C$11=L$11,L292,IF($C$11=M$11,M292,N292))))))))</f>
        <v>A2</v>
      </c>
      <c r="E292" s="5" t="s">
        <v>1</v>
      </c>
      <c r="F292" s="4" t="s">
        <v>61</v>
      </c>
      <c r="G292" s="4" t="s">
        <v>61</v>
      </c>
      <c r="H292" s="4" t="s">
        <v>61</v>
      </c>
      <c r="I292" s="4" t="s">
        <v>17</v>
      </c>
      <c r="J292" s="4" t="s">
        <v>17</v>
      </c>
      <c r="K292" s="4" t="s">
        <v>17</v>
      </c>
      <c r="L292" s="4" t="s">
        <v>17</v>
      </c>
      <c r="M292" s="4" t="s">
        <v>17</v>
      </c>
      <c r="N292" s="4" t="s">
        <v>17</v>
      </c>
    </row>
    <row r="293" spans="2:14" s="2" customFormat="1" ht="12.95" hidden="1" customHeight="1">
      <c r="B293" s="12" t="str">
        <f>+E293</f>
        <v>Nivel</v>
      </c>
      <c r="C293" s="11">
        <f t="shared" si="64"/>
        <v>21</v>
      </c>
      <c r="E293" s="5" t="s">
        <v>0</v>
      </c>
      <c r="F293" s="4">
        <v>21</v>
      </c>
      <c r="G293" s="4">
        <v>24</v>
      </c>
      <c r="H293" s="4">
        <v>24</v>
      </c>
      <c r="I293" s="4">
        <v>24</v>
      </c>
      <c r="J293" s="4">
        <v>24</v>
      </c>
      <c r="K293" s="4">
        <v>24</v>
      </c>
      <c r="L293" s="4">
        <v>24</v>
      </c>
      <c r="M293" s="4">
        <v>26</v>
      </c>
      <c r="N293" s="4">
        <v>26</v>
      </c>
    </row>
    <row r="294" spans="2:14" s="2" customFormat="1" ht="12.95" hidden="1" customHeight="1">
      <c r="B294" s="13" t="s">
        <v>2</v>
      </c>
      <c r="C294" s="11">
        <f t="shared" si="64"/>
        <v>958.98</v>
      </c>
      <c r="E294" s="13" t="s">
        <v>2</v>
      </c>
      <c r="F294" s="14">
        <v>958.98</v>
      </c>
      <c r="G294" s="14">
        <v>958.98</v>
      </c>
      <c r="H294" s="14">
        <v>958.98</v>
      </c>
      <c r="I294" s="14">
        <v>1109.0999999999999</v>
      </c>
      <c r="J294" s="14">
        <f t="shared" ref="J294:N299" si="65">+I294</f>
        <v>1109.0999999999999</v>
      </c>
      <c r="K294" s="14">
        <f t="shared" si="65"/>
        <v>1109.0999999999999</v>
      </c>
      <c r="L294" s="14">
        <f t="shared" si="65"/>
        <v>1109.0999999999999</v>
      </c>
      <c r="M294" s="14">
        <f t="shared" si="65"/>
        <v>1109.0999999999999</v>
      </c>
      <c r="N294" s="14">
        <f t="shared" si="65"/>
        <v>1109.0999999999999</v>
      </c>
    </row>
    <row r="295" spans="2:14" s="2" customFormat="1" ht="12.95" hidden="1" customHeight="1">
      <c r="B295" s="13" t="s">
        <v>64</v>
      </c>
      <c r="C295" s="11">
        <f t="shared" si="64"/>
        <v>699.38</v>
      </c>
      <c r="E295" s="13" t="s">
        <v>64</v>
      </c>
      <c r="F295" s="19">
        <v>699.38</v>
      </c>
      <c r="G295" s="19">
        <v>699.38</v>
      </c>
      <c r="H295" s="19">
        <v>699.38</v>
      </c>
      <c r="I295" s="19">
        <v>684.36</v>
      </c>
      <c r="J295" s="14">
        <f t="shared" si="65"/>
        <v>684.36</v>
      </c>
      <c r="K295" s="14">
        <f t="shared" si="65"/>
        <v>684.36</v>
      </c>
      <c r="L295" s="14">
        <f t="shared" si="65"/>
        <v>684.36</v>
      </c>
      <c r="M295" s="14">
        <f t="shared" si="65"/>
        <v>684.36</v>
      </c>
      <c r="N295" s="14">
        <f t="shared" si="65"/>
        <v>684.36</v>
      </c>
    </row>
    <row r="296" spans="2:14" s="2" customFormat="1" ht="12.95" hidden="1" customHeight="1">
      <c r="B296" s="13" t="s">
        <v>3</v>
      </c>
      <c r="C296" s="11">
        <f t="shared" si="64"/>
        <v>34.770000000000003</v>
      </c>
      <c r="E296" s="13" t="s">
        <v>3</v>
      </c>
      <c r="F296" s="14">
        <v>34.770000000000003</v>
      </c>
      <c r="G296" s="14">
        <v>34.770000000000003</v>
      </c>
      <c r="H296" s="14">
        <v>34.770000000000003</v>
      </c>
      <c r="I296" s="14">
        <v>42.65</v>
      </c>
      <c r="J296" s="14">
        <f t="shared" si="65"/>
        <v>42.65</v>
      </c>
      <c r="K296" s="14">
        <f t="shared" si="65"/>
        <v>42.65</v>
      </c>
      <c r="L296" s="14">
        <f t="shared" si="65"/>
        <v>42.65</v>
      </c>
      <c r="M296" s="14">
        <f t="shared" si="65"/>
        <v>42.65</v>
      </c>
      <c r="N296" s="14">
        <f t="shared" si="65"/>
        <v>42.65</v>
      </c>
    </row>
    <row r="297" spans="2:14" s="2" customFormat="1" ht="12.95" hidden="1" customHeight="1">
      <c r="B297" s="13" t="s">
        <v>65</v>
      </c>
      <c r="C297" s="11">
        <f t="shared" si="64"/>
        <v>25.35</v>
      </c>
      <c r="E297" s="13" t="s">
        <v>65</v>
      </c>
      <c r="F297" s="19">
        <v>25.35</v>
      </c>
      <c r="G297" s="19">
        <v>25.35</v>
      </c>
      <c r="H297" s="19">
        <v>25.35</v>
      </c>
      <c r="I297" s="19">
        <v>26.31</v>
      </c>
      <c r="J297" s="14">
        <f t="shared" si="65"/>
        <v>26.31</v>
      </c>
      <c r="K297" s="14">
        <f t="shared" si="65"/>
        <v>26.31</v>
      </c>
      <c r="L297" s="14">
        <f t="shared" si="65"/>
        <v>26.31</v>
      </c>
      <c r="M297" s="14">
        <f t="shared" si="65"/>
        <v>26.31</v>
      </c>
      <c r="N297" s="14">
        <f t="shared" si="65"/>
        <v>26.31</v>
      </c>
    </row>
    <row r="298" spans="2:14" s="2" customFormat="1" ht="12.95" hidden="1" customHeight="1">
      <c r="B298" s="13" t="s">
        <v>4</v>
      </c>
      <c r="C298" s="11">
        <f t="shared" si="64"/>
        <v>473.35</v>
      </c>
      <c r="E298" s="13" t="s">
        <v>4</v>
      </c>
      <c r="F298" s="14">
        <v>473.35</v>
      </c>
      <c r="G298" s="14">
        <v>582.91999999999996</v>
      </c>
      <c r="H298" s="14">
        <v>582.91999999999996</v>
      </c>
      <c r="I298" s="14">
        <v>582.91999999999996</v>
      </c>
      <c r="J298" s="14">
        <f t="shared" si="65"/>
        <v>582.91999999999996</v>
      </c>
      <c r="K298" s="14">
        <f t="shared" si="65"/>
        <v>582.91999999999996</v>
      </c>
      <c r="L298" s="14">
        <f t="shared" si="65"/>
        <v>582.91999999999996</v>
      </c>
      <c r="M298" s="14">
        <f t="shared" si="65"/>
        <v>582.91999999999996</v>
      </c>
      <c r="N298" s="14">
        <f t="shared" si="65"/>
        <v>582.91999999999996</v>
      </c>
    </row>
    <row r="299" spans="2:14" s="2" customFormat="1" ht="12.95" hidden="1" customHeight="1">
      <c r="B299" s="13" t="s">
        <v>5</v>
      </c>
      <c r="C299" s="11">
        <f t="shared" si="64"/>
        <v>558.66</v>
      </c>
      <c r="E299" s="13" t="s">
        <v>5</v>
      </c>
      <c r="F299" s="14">
        <v>558.66</v>
      </c>
      <c r="G299" s="14">
        <v>571.37</v>
      </c>
      <c r="H299" s="14">
        <v>571.37</v>
      </c>
      <c r="I299" s="14">
        <v>571.37</v>
      </c>
      <c r="J299" s="14">
        <f t="shared" si="65"/>
        <v>571.37</v>
      </c>
      <c r="K299" s="14">
        <f t="shared" si="65"/>
        <v>571.37</v>
      </c>
      <c r="L299" s="14">
        <f t="shared" si="65"/>
        <v>571.37</v>
      </c>
      <c r="M299" s="14">
        <f t="shared" si="65"/>
        <v>571.37</v>
      </c>
      <c r="N299" s="14">
        <f t="shared" si="65"/>
        <v>571.37</v>
      </c>
    </row>
    <row r="300" spans="2:14" s="2" customFormat="1" ht="12.95" hidden="1" customHeight="1">
      <c r="B300" s="27" t="s">
        <v>66</v>
      </c>
      <c r="C300" s="11">
        <f t="shared" si="64"/>
        <v>0</v>
      </c>
      <c r="E300" s="27" t="s">
        <v>66</v>
      </c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2:14" s="2" customFormat="1" ht="12.95" hidden="1" customHeight="1">
      <c r="B301" s="27" t="s">
        <v>80</v>
      </c>
      <c r="C301" s="11">
        <f t="shared" si="64"/>
        <v>0</v>
      </c>
      <c r="E301" s="27" t="s">
        <v>80</v>
      </c>
      <c r="F301" s="14"/>
      <c r="G301" s="14"/>
      <c r="H301" s="14"/>
      <c r="I301" s="14"/>
      <c r="J301" s="14">
        <f>+I301</f>
        <v>0</v>
      </c>
      <c r="K301" s="14">
        <f t="shared" ref="K301:N307" si="66">+J301</f>
        <v>0</v>
      </c>
      <c r="L301" s="14">
        <f t="shared" si="66"/>
        <v>0</v>
      </c>
      <c r="M301" s="14">
        <f t="shared" si="66"/>
        <v>0</v>
      </c>
      <c r="N301" s="14">
        <f t="shared" si="66"/>
        <v>0</v>
      </c>
    </row>
    <row r="302" spans="2:14" s="2" customFormat="1" ht="12.95" hidden="1" customHeight="1">
      <c r="B302" s="27" t="s">
        <v>26</v>
      </c>
      <c r="C302" s="11">
        <f t="shared" si="64"/>
        <v>102.97</v>
      </c>
      <c r="E302" s="27" t="s">
        <v>26</v>
      </c>
      <c r="F302" s="85">
        <v>102.97</v>
      </c>
      <c r="G302" s="14">
        <f t="shared" ref="G302:I307" si="67">+F302</f>
        <v>102.97</v>
      </c>
      <c r="H302" s="14">
        <f t="shared" si="67"/>
        <v>102.97</v>
      </c>
      <c r="I302" s="14">
        <f t="shared" si="67"/>
        <v>102.97</v>
      </c>
      <c r="J302" s="14">
        <f t="shared" ref="J302:J307" si="68">+I302</f>
        <v>102.97</v>
      </c>
      <c r="K302" s="14">
        <f t="shared" si="66"/>
        <v>102.97</v>
      </c>
      <c r="L302" s="14">
        <f t="shared" si="66"/>
        <v>102.97</v>
      </c>
      <c r="M302" s="14">
        <f t="shared" si="66"/>
        <v>102.97</v>
      </c>
      <c r="N302" s="14">
        <f t="shared" si="66"/>
        <v>102.97</v>
      </c>
    </row>
    <row r="303" spans="2:14" s="2" customFormat="1" ht="12.95" hidden="1" customHeight="1">
      <c r="B303" s="27" t="s">
        <v>27</v>
      </c>
      <c r="C303" s="11">
        <f t="shared" si="64"/>
        <v>108.29</v>
      </c>
      <c r="E303" s="27" t="s">
        <v>27</v>
      </c>
      <c r="F303" s="85">
        <v>108.29</v>
      </c>
      <c r="G303" s="14">
        <f t="shared" si="67"/>
        <v>108.29</v>
      </c>
      <c r="H303" s="14">
        <f t="shared" si="67"/>
        <v>108.29</v>
      </c>
      <c r="I303" s="14">
        <f t="shared" si="67"/>
        <v>108.29</v>
      </c>
      <c r="J303" s="14">
        <f t="shared" si="68"/>
        <v>108.29</v>
      </c>
      <c r="K303" s="14">
        <f t="shared" si="66"/>
        <v>108.29</v>
      </c>
      <c r="L303" s="14">
        <f t="shared" si="66"/>
        <v>108.29</v>
      </c>
      <c r="M303" s="14">
        <f t="shared" si="66"/>
        <v>108.29</v>
      </c>
      <c r="N303" s="14">
        <f t="shared" si="66"/>
        <v>108.29</v>
      </c>
    </row>
    <row r="304" spans="2:14" s="2" customFormat="1" ht="12.95" hidden="1" customHeight="1">
      <c r="B304" s="27" t="s">
        <v>28</v>
      </c>
      <c r="C304" s="11">
        <f t="shared" si="64"/>
        <v>122.78</v>
      </c>
      <c r="E304" s="27" t="s">
        <v>28</v>
      </c>
      <c r="F304" s="85">
        <v>122.78</v>
      </c>
      <c r="G304" s="14">
        <f t="shared" si="67"/>
        <v>122.78</v>
      </c>
      <c r="H304" s="14">
        <f t="shared" si="67"/>
        <v>122.78</v>
      </c>
      <c r="I304" s="14">
        <f t="shared" si="67"/>
        <v>122.78</v>
      </c>
      <c r="J304" s="14">
        <f t="shared" si="68"/>
        <v>122.78</v>
      </c>
      <c r="K304" s="14">
        <f t="shared" si="66"/>
        <v>122.78</v>
      </c>
      <c r="L304" s="14">
        <f t="shared" si="66"/>
        <v>122.78</v>
      </c>
      <c r="M304" s="14">
        <f t="shared" si="66"/>
        <v>122.78</v>
      </c>
      <c r="N304" s="14">
        <f t="shared" si="66"/>
        <v>122.78</v>
      </c>
    </row>
    <row r="305" spans="2:14" s="2" customFormat="1" ht="12.95" hidden="1" customHeight="1">
      <c r="B305" s="27" t="s">
        <v>29</v>
      </c>
      <c r="C305" s="11">
        <f t="shared" si="64"/>
        <v>132.96</v>
      </c>
      <c r="E305" s="27" t="s">
        <v>29</v>
      </c>
      <c r="F305" s="85">
        <v>132.96</v>
      </c>
      <c r="G305" s="14">
        <f t="shared" si="67"/>
        <v>132.96</v>
      </c>
      <c r="H305" s="14">
        <f t="shared" si="67"/>
        <v>132.96</v>
      </c>
      <c r="I305" s="14">
        <f t="shared" si="67"/>
        <v>132.96</v>
      </c>
      <c r="J305" s="14">
        <f t="shared" si="68"/>
        <v>132.96</v>
      </c>
      <c r="K305" s="14">
        <f t="shared" si="66"/>
        <v>132.96</v>
      </c>
      <c r="L305" s="14">
        <f t="shared" si="66"/>
        <v>132.96</v>
      </c>
      <c r="M305" s="14">
        <f t="shared" si="66"/>
        <v>132.96</v>
      </c>
      <c r="N305" s="14">
        <f t="shared" si="66"/>
        <v>132.96</v>
      </c>
    </row>
    <row r="306" spans="2:14" s="2" customFormat="1" ht="12.95" hidden="1" customHeight="1">
      <c r="B306" s="27" t="s">
        <v>30</v>
      </c>
      <c r="C306" s="11">
        <f t="shared" si="64"/>
        <v>116.38</v>
      </c>
      <c r="E306" s="27" t="s">
        <v>30</v>
      </c>
      <c r="F306" s="85">
        <v>116.38</v>
      </c>
      <c r="G306" s="14">
        <f t="shared" si="67"/>
        <v>116.38</v>
      </c>
      <c r="H306" s="14">
        <f t="shared" si="67"/>
        <v>116.38</v>
      </c>
      <c r="I306" s="14">
        <f t="shared" si="67"/>
        <v>116.38</v>
      </c>
      <c r="J306" s="14">
        <f t="shared" si="68"/>
        <v>116.38</v>
      </c>
      <c r="K306" s="14">
        <f t="shared" si="66"/>
        <v>116.38</v>
      </c>
      <c r="L306" s="14">
        <f t="shared" si="66"/>
        <v>116.38</v>
      </c>
      <c r="M306" s="14">
        <f t="shared" si="66"/>
        <v>116.38</v>
      </c>
      <c r="N306" s="14">
        <f t="shared" si="66"/>
        <v>116.38</v>
      </c>
    </row>
    <row r="307" spans="2:14" s="2" customFormat="1" ht="12.95" hidden="1" customHeight="1">
      <c r="B307" s="27" t="s">
        <v>32</v>
      </c>
      <c r="C307" s="11">
        <f t="shared" si="64"/>
        <v>0</v>
      </c>
      <c r="E307" s="27" t="s">
        <v>32</v>
      </c>
      <c r="F307" s="85"/>
      <c r="G307" s="14">
        <f t="shared" si="67"/>
        <v>0</v>
      </c>
      <c r="H307" s="14">
        <f t="shared" si="67"/>
        <v>0</v>
      </c>
      <c r="I307" s="14">
        <f t="shared" si="67"/>
        <v>0</v>
      </c>
      <c r="J307" s="14">
        <f t="shared" si="68"/>
        <v>0</v>
      </c>
      <c r="K307" s="14">
        <f t="shared" si="66"/>
        <v>0</v>
      </c>
      <c r="L307" s="14">
        <f t="shared" si="66"/>
        <v>0</v>
      </c>
      <c r="M307" s="14">
        <f t="shared" si="66"/>
        <v>0</v>
      </c>
      <c r="N307" s="14">
        <f t="shared" si="66"/>
        <v>0</v>
      </c>
    </row>
    <row r="308" spans="2:14" s="2" customFormat="1" ht="12.95" hidden="1" customHeight="1">
      <c r="B308" s="28" t="s">
        <v>6</v>
      </c>
      <c r="C308" s="11">
        <f t="shared" si="64"/>
        <v>0</v>
      </c>
      <c r="E308" s="28" t="s">
        <v>6</v>
      </c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2:14" s="2" customFormat="1" ht="12.95" hidden="1" customHeight="1">
      <c r="B309" s="28" t="s">
        <v>7</v>
      </c>
      <c r="C309" s="11">
        <f t="shared" si="64"/>
        <v>0</v>
      </c>
      <c r="E309" s="28" t="s">
        <v>7</v>
      </c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2:14" s="2" customFormat="1" ht="12.95" hidden="1" customHeight="1">
      <c r="B310" s="28" t="s">
        <v>8</v>
      </c>
      <c r="C310" s="11">
        <f t="shared" si="64"/>
        <v>0</v>
      </c>
      <c r="E310" s="28" t="s">
        <v>8</v>
      </c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2:14" s="2" customFormat="1" ht="12.95" hidden="1" customHeight="1">
      <c r="B311" s="29" t="s">
        <v>77</v>
      </c>
      <c r="C311" s="11">
        <f t="shared" si="64"/>
        <v>0</v>
      </c>
      <c r="E311" s="29" t="s">
        <v>77</v>
      </c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2:14" s="2" customFormat="1" ht="12.95" hidden="1" customHeight="1">
      <c r="B312" s="30" t="s">
        <v>81</v>
      </c>
      <c r="C312" s="11">
        <f t="shared" si="64"/>
        <v>0</v>
      </c>
      <c r="E312" s="30" t="s">
        <v>81</v>
      </c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2:14" s="2" customFormat="1" ht="12.95" hidden="1" customHeight="1">
      <c r="B313" s="30" t="s">
        <v>78</v>
      </c>
      <c r="C313" s="11">
        <f t="shared" si="64"/>
        <v>0</v>
      </c>
      <c r="E313" s="30" t="s">
        <v>78</v>
      </c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2:14" s="2" customFormat="1" ht="12.95" hidden="1" customHeight="1">
      <c r="B314" s="30" t="s">
        <v>82</v>
      </c>
      <c r="C314" s="11">
        <f t="shared" si="64"/>
        <v>0</v>
      </c>
      <c r="E314" s="30" t="s">
        <v>82</v>
      </c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2:14" s="2" customFormat="1" ht="12.95" hidden="1" customHeight="1">
      <c r="B315" s="31" t="s">
        <v>79</v>
      </c>
      <c r="C315" s="11">
        <f t="shared" si="64"/>
        <v>0</v>
      </c>
      <c r="E315" s="31" t="s">
        <v>79</v>
      </c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2:14" s="2" customFormat="1" ht="12.95" hidden="1" customHeight="1">
      <c r="B316" s="22" t="s">
        <v>9</v>
      </c>
      <c r="C316" s="11">
        <f t="shared" si="64"/>
        <v>-37.67</v>
      </c>
      <c r="E316" s="22" t="s">
        <v>9</v>
      </c>
      <c r="F316" s="20">
        <v>-37.67</v>
      </c>
      <c r="G316" s="20">
        <v>-37.67</v>
      </c>
      <c r="H316" s="20">
        <v>-37.67</v>
      </c>
      <c r="I316" s="20">
        <v>-47.86</v>
      </c>
      <c r="J316" s="20">
        <v>-47.86</v>
      </c>
      <c r="K316" s="20">
        <v>-47.86</v>
      </c>
      <c r="L316" s="20">
        <v>-47.86</v>
      </c>
      <c r="M316" s="20">
        <v>-47.86</v>
      </c>
      <c r="N316" s="20">
        <v>-47.86</v>
      </c>
    </row>
    <row r="317" spans="2:14" s="2" customFormat="1" ht="12.95" hidden="1" customHeight="1">
      <c r="B317" s="22" t="s">
        <v>16</v>
      </c>
      <c r="C317" s="11">
        <f t="shared" si="64"/>
        <v>-86.03</v>
      </c>
      <c r="E317" s="22" t="s">
        <v>16</v>
      </c>
      <c r="F317" s="20">
        <v>-86.03</v>
      </c>
      <c r="G317" s="20">
        <v>-86.03</v>
      </c>
      <c r="H317" s="20">
        <v>-86.03</v>
      </c>
      <c r="I317" s="20">
        <v>-109.31</v>
      </c>
      <c r="J317" s="20">
        <v>-109.31</v>
      </c>
      <c r="K317" s="20">
        <v>-109.31</v>
      </c>
      <c r="L317" s="20">
        <v>-109.31</v>
      </c>
      <c r="M317" s="20">
        <v>-109.31</v>
      </c>
      <c r="N317" s="20">
        <v>-109.31</v>
      </c>
    </row>
    <row r="318" spans="2:14" hidden="1">
      <c r="B318" s="1" t="s">
        <v>18</v>
      </c>
      <c r="C318" s="11">
        <f t="shared" si="64"/>
        <v>34446.072</v>
      </c>
      <c r="E318" s="32" t="s">
        <v>18</v>
      </c>
      <c r="F318" s="82">
        <f>((+F294+F298+F299+F300)*12)+(F296*INT($C$3/3)*12)+((F295+F298)*2)+((F299+F300)*0.78*2)+(F297*INT($C$3/3)*2)+(IF($C$6="s",(F309+12)+(F310*INT($C$3/3)*12),F308*12))+(IF($C$4="s",F311,0))+(((IF(INT($C$3/3)&lt;6,F301,0))+(IF(AND(INT($C$3/6)&gt;0,INT($C$3/6)&lt;2),F302,0))+(IF(AND(INT($C$3/6)&gt;1,INT($C$3/6)&lt;3),F302+F303,0))+(IF(AND(INT($C$3/6)&gt;2,INT($C$3/6)&lt;4),F302+F303+F304,0))+(IF(AND(INT($C$3/6)&gt;3,INT($C$3/6)&lt;5),F302+F303+F304+F305,0))+(IF(INT($C$3/6)&gt;4,F302+F303+F304+F305+F306,0)))*12)+(IF($C$7="s",F307*12,0))++(((IF(INT($C$3/3)&lt;6,F301,0))+(IF(AND(INT($C$3/6)&gt;0,INT($C$3/6)&lt;2),F302,0))+(IF(AND(INT($C$3/6)&gt;1,INT($C$3/6)&lt;3),F302+F303,0))+(IF(AND(INT($C$3/6)&gt;2,INT($C$3/6)&lt;4),F302+F303+F304,0))+(IF(AND(INT($C$3/6)&gt;3,INT($C$3/6)&lt;5),F302+F303+F304+F305,0))+(IF(INT($C$3/6)&gt;4,F302+F303+F304+F305+F306,0)))*2*0.78)+(F312*12)+(F313*2)</f>
        <v>34446.072</v>
      </c>
      <c r="G318" s="82">
        <f t="shared" ref="G318:N318" si="69">((+G294+G298+G299+G300)*12)+(G296*INT($C$3/3)*12)+((G295+G298)*2)+((G299+G300)*0.78*2)+(G297*INT($C$3/3)*2)+(IF($C$6="s",(G309+12)+(G310*INT($C$3/3)*12),G308*12))+(IF($C$4="s",G311,0))+(((IF(INT($C$3/3)&lt;6,G301,0))+(IF(AND(INT($C$3/6)&gt;0,INT($C$3/6)&lt;2),G302,0))+(IF(AND(INT($C$3/6)&gt;1,INT($C$3/6)&lt;3),G302+G303,0))+(IF(AND(INT($C$3/6)&gt;2,INT($C$3/6)&lt;4),G302+G303+G304,0))+(IF(AND(INT($C$3/6)&gt;3,INT($C$3/6)&lt;5),G302+G303+G304+G305,0))+(IF(INT($C$3/6)&gt;4,G302+G303+G304+G305+G306,0)))*12)+(IF($C$7="s",G307*12,0))++(((IF(INT($C$3/3)&lt;6,G301,0))+(IF(AND(INT($C$3/6)&gt;0,INT($C$3/6)&lt;2),G302,0))+(IF(AND(INT($C$3/6)&gt;1,INT($C$3/6)&lt;3),G302+G303,0))+(IF(AND(INT($C$3/6)&gt;2,INT($C$3/6)&lt;4),G302+G303+G304,0))+(IF(AND(INT($C$3/6)&gt;3,INT($C$3/6)&lt;5),G302+G303+G304+G305,0))+(IF(INT($C$3/6)&gt;4,G302+G303+G304+G305+G306,0)))*2*0.78)+(G312*12)+(G313*2)</f>
        <v>36152.399600000004</v>
      </c>
      <c r="H318" s="82">
        <f t="shared" si="69"/>
        <v>36152.399600000004</v>
      </c>
      <c r="I318" s="82">
        <f t="shared" si="69"/>
        <v>38502.679600000003</v>
      </c>
      <c r="J318" s="82">
        <f t="shared" si="69"/>
        <v>38502.679600000003</v>
      </c>
      <c r="K318" s="82">
        <f t="shared" si="69"/>
        <v>38502.679600000003</v>
      </c>
      <c r="L318" s="82">
        <f t="shared" si="69"/>
        <v>38502.679600000003</v>
      </c>
      <c r="M318" s="82">
        <f t="shared" si="69"/>
        <v>38502.679600000003</v>
      </c>
      <c r="N318" s="82">
        <f t="shared" si="69"/>
        <v>38502.679600000003</v>
      </c>
    </row>
    <row r="319" spans="2:14" hidden="1"/>
    <row r="320" spans="2:14" hidden="1"/>
    <row r="321" spans="2:14" hidden="1"/>
    <row r="322" spans="2:14" hidden="1"/>
    <row r="323" spans="2:14" hidden="1"/>
    <row r="324" spans="2:14" hidden="1"/>
    <row r="325" spans="2:14" s="2" customFormat="1" ht="12.95" hidden="1" customHeight="1">
      <c r="B325" s="3"/>
      <c r="C325" s="2" t="str">
        <f>+E326</f>
        <v>Extremadura</v>
      </c>
    </row>
    <row r="326" spans="2:14" s="2" customFormat="1" ht="35.25" hidden="1" customHeight="1">
      <c r="C326" s="7" t="str">
        <f>+$C$11</f>
        <v>597-Maestros</v>
      </c>
      <c r="E326" s="15" t="s">
        <v>45</v>
      </c>
      <c r="F326" s="6" t="s">
        <v>60</v>
      </c>
      <c r="G326" s="6" t="s">
        <v>55</v>
      </c>
      <c r="H326" s="6" t="s">
        <v>59</v>
      </c>
      <c r="I326" s="6" t="s">
        <v>54</v>
      </c>
      <c r="J326" s="6" t="s">
        <v>56</v>
      </c>
      <c r="K326" s="6" t="s">
        <v>57</v>
      </c>
      <c r="L326" s="6" t="s">
        <v>58</v>
      </c>
      <c r="M326" s="6" t="s">
        <v>53</v>
      </c>
      <c r="N326" s="6" t="s">
        <v>52</v>
      </c>
    </row>
    <row r="327" spans="2:14" s="2" customFormat="1" ht="12.95" hidden="1" customHeight="1">
      <c r="B327" s="12" t="s">
        <v>1</v>
      </c>
      <c r="C327" s="11" t="str">
        <f t="shared" ref="C327:C353" si="70">IF($C$11=$F$11,F327,IF($C$11=G$11,G327,IF($C$11=H$11,H327,IF($C$11=I$11,I327,IF($C$11=J$11,J327,IF($C$11=K$11,K327,IF($C$11=L$11,L327,IF($C$11=M$11,M327,N327))))))))</f>
        <v>A2</v>
      </c>
      <c r="E327" s="5" t="s">
        <v>1</v>
      </c>
      <c r="F327" s="4" t="s">
        <v>61</v>
      </c>
      <c r="G327" s="4" t="s">
        <v>61</v>
      </c>
      <c r="H327" s="4" t="s">
        <v>61</v>
      </c>
      <c r="I327" s="4" t="s">
        <v>17</v>
      </c>
      <c r="J327" s="4" t="s">
        <v>17</v>
      </c>
      <c r="K327" s="4" t="s">
        <v>17</v>
      </c>
      <c r="L327" s="4" t="s">
        <v>17</v>
      </c>
      <c r="M327" s="4" t="s">
        <v>17</v>
      </c>
      <c r="N327" s="4" t="s">
        <v>17</v>
      </c>
    </row>
    <row r="328" spans="2:14" s="2" customFormat="1" ht="12.95" hidden="1" customHeight="1">
      <c r="B328" s="12" t="str">
        <f>+E328</f>
        <v>Nivel</v>
      </c>
      <c r="C328" s="11">
        <f t="shared" si="70"/>
        <v>21</v>
      </c>
      <c r="E328" s="5" t="s">
        <v>0</v>
      </c>
      <c r="F328" s="4">
        <v>21</v>
      </c>
      <c r="G328" s="4">
        <v>24</v>
      </c>
      <c r="H328" s="4">
        <v>24</v>
      </c>
      <c r="I328" s="4">
        <v>24</v>
      </c>
      <c r="J328" s="4">
        <v>24</v>
      </c>
      <c r="K328" s="4">
        <v>24</v>
      </c>
      <c r="L328" s="4">
        <v>24</v>
      </c>
      <c r="M328" s="4">
        <v>26</v>
      </c>
      <c r="N328" s="4">
        <v>26</v>
      </c>
    </row>
    <row r="329" spans="2:14" s="2" customFormat="1" ht="12.95" hidden="1" customHeight="1">
      <c r="B329" s="13" t="s">
        <v>2</v>
      </c>
      <c r="C329" s="11">
        <f t="shared" si="70"/>
        <v>958.98</v>
      </c>
      <c r="E329" s="13" t="s">
        <v>2</v>
      </c>
      <c r="F329" s="14">
        <v>958.98</v>
      </c>
      <c r="G329" s="14">
        <v>958.98</v>
      </c>
      <c r="H329" s="14">
        <v>958.98</v>
      </c>
      <c r="I329" s="14">
        <v>1109.0999999999999</v>
      </c>
      <c r="J329" s="14">
        <f t="shared" ref="J329:N335" si="71">+I329</f>
        <v>1109.0999999999999</v>
      </c>
      <c r="K329" s="14">
        <f t="shared" si="71"/>
        <v>1109.0999999999999</v>
      </c>
      <c r="L329" s="14">
        <f t="shared" si="71"/>
        <v>1109.0999999999999</v>
      </c>
      <c r="M329" s="14">
        <f t="shared" si="71"/>
        <v>1109.0999999999999</v>
      </c>
      <c r="N329" s="14">
        <f t="shared" si="71"/>
        <v>1109.0999999999999</v>
      </c>
    </row>
    <row r="330" spans="2:14" s="2" customFormat="1" ht="12.95" hidden="1" customHeight="1">
      <c r="B330" s="13" t="s">
        <v>64</v>
      </c>
      <c r="C330" s="11">
        <f t="shared" si="70"/>
        <v>699.38</v>
      </c>
      <c r="E330" s="13" t="s">
        <v>64</v>
      </c>
      <c r="F330" s="19">
        <v>699.38</v>
      </c>
      <c r="G330" s="19">
        <v>699.38</v>
      </c>
      <c r="H330" s="19">
        <v>699.38</v>
      </c>
      <c r="I330" s="19">
        <v>684.36</v>
      </c>
      <c r="J330" s="14">
        <f t="shared" si="71"/>
        <v>684.36</v>
      </c>
      <c r="K330" s="14">
        <f t="shared" si="71"/>
        <v>684.36</v>
      </c>
      <c r="L330" s="14">
        <f t="shared" si="71"/>
        <v>684.36</v>
      </c>
      <c r="M330" s="14">
        <f t="shared" si="71"/>
        <v>684.36</v>
      </c>
      <c r="N330" s="14">
        <f t="shared" si="71"/>
        <v>684.36</v>
      </c>
    </row>
    <row r="331" spans="2:14" s="2" customFormat="1" ht="12.95" hidden="1" customHeight="1">
      <c r="B331" s="13" t="s">
        <v>3</v>
      </c>
      <c r="C331" s="11">
        <f t="shared" si="70"/>
        <v>34.770000000000003</v>
      </c>
      <c r="E331" s="13" t="s">
        <v>3</v>
      </c>
      <c r="F331" s="14">
        <v>34.770000000000003</v>
      </c>
      <c r="G331" s="14">
        <v>34.770000000000003</v>
      </c>
      <c r="H331" s="14">
        <v>34.770000000000003</v>
      </c>
      <c r="I331" s="14">
        <v>42.65</v>
      </c>
      <c r="J331" s="14">
        <f t="shared" si="71"/>
        <v>42.65</v>
      </c>
      <c r="K331" s="14">
        <f t="shared" si="71"/>
        <v>42.65</v>
      </c>
      <c r="L331" s="14">
        <f t="shared" si="71"/>
        <v>42.65</v>
      </c>
      <c r="M331" s="14">
        <f t="shared" si="71"/>
        <v>42.65</v>
      </c>
      <c r="N331" s="14">
        <f t="shared" si="71"/>
        <v>42.65</v>
      </c>
    </row>
    <row r="332" spans="2:14" s="2" customFormat="1" ht="12.95" hidden="1" customHeight="1">
      <c r="B332" s="13" t="s">
        <v>65</v>
      </c>
      <c r="C332" s="11">
        <f t="shared" si="70"/>
        <v>25.35</v>
      </c>
      <c r="E332" s="13" t="s">
        <v>65</v>
      </c>
      <c r="F332" s="19">
        <v>25.35</v>
      </c>
      <c r="G332" s="19">
        <v>25.35</v>
      </c>
      <c r="H332" s="19">
        <v>25.35</v>
      </c>
      <c r="I332" s="19">
        <v>26.31</v>
      </c>
      <c r="J332" s="14">
        <f t="shared" si="71"/>
        <v>26.31</v>
      </c>
      <c r="K332" s="14">
        <f t="shared" si="71"/>
        <v>26.31</v>
      </c>
      <c r="L332" s="14">
        <f t="shared" si="71"/>
        <v>26.31</v>
      </c>
      <c r="M332" s="14">
        <f t="shared" si="71"/>
        <v>26.31</v>
      </c>
      <c r="N332" s="14">
        <f t="shared" si="71"/>
        <v>26.31</v>
      </c>
    </row>
    <row r="333" spans="2:14" s="2" customFormat="1" ht="12.95" hidden="1" customHeight="1">
      <c r="B333" s="13" t="s">
        <v>4</v>
      </c>
      <c r="C333" s="11">
        <f t="shared" si="70"/>
        <v>473.35</v>
      </c>
      <c r="E333" s="13" t="s">
        <v>4</v>
      </c>
      <c r="F333" s="14">
        <v>473.35</v>
      </c>
      <c r="G333" s="14">
        <v>582.91999999999996</v>
      </c>
      <c r="H333" s="14">
        <v>590.97</v>
      </c>
      <c r="I333" s="14">
        <v>582.91999999999996</v>
      </c>
      <c r="J333" s="14">
        <f t="shared" si="71"/>
        <v>582.91999999999996</v>
      </c>
      <c r="K333" s="14">
        <f t="shared" si="71"/>
        <v>582.91999999999996</v>
      </c>
      <c r="L333" s="14">
        <f t="shared" si="71"/>
        <v>582.91999999999996</v>
      </c>
      <c r="M333" s="14">
        <f t="shared" si="71"/>
        <v>582.91999999999996</v>
      </c>
      <c r="N333" s="14">
        <f t="shared" si="71"/>
        <v>582.91999999999996</v>
      </c>
    </row>
    <row r="334" spans="2:14" s="2" customFormat="1" ht="12.95" hidden="1" customHeight="1">
      <c r="B334" s="13" t="s">
        <v>5</v>
      </c>
      <c r="C334" s="11">
        <f t="shared" si="70"/>
        <v>443.93</v>
      </c>
      <c r="E334" s="13" t="s">
        <v>5</v>
      </c>
      <c r="F334" s="14">
        <v>443.93</v>
      </c>
      <c r="G334" s="14">
        <v>443.93</v>
      </c>
      <c r="H334" s="14">
        <v>443.93</v>
      </c>
      <c r="I334" s="14">
        <v>443.93</v>
      </c>
      <c r="J334" s="14">
        <f t="shared" si="71"/>
        <v>443.93</v>
      </c>
      <c r="K334" s="14">
        <f t="shared" si="71"/>
        <v>443.93</v>
      </c>
      <c r="L334" s="14">
        <f t="shared" si="71"/>
        <v>443.93</v>
      </c>
      <c r="M334" s="14">
        <v>493.41</v>
      </c>
      <c r="N334" s="14">
        <v>521.13</v>
      </c>
    </row>
    <row r="335" spans="2:14" s="2" customFormat="1" ht="12.95" hidden="1" customHeight="1">
      <c r="B335" s="27" t="s">
        <v>66</v>
      </c>
      <c r="C335" s="11">
        <f t="shared" si="70"/>
        <v>155.13999999999999</v>
      </c>
      <c r="E335" s="27" t="s">
        <v>66</v>
      </c>
      <c r="F335" s="14">
        <v>155.13999999999999</v>
      </c>
      <c r="G335" s="14">
        <v>155.13999999999999</v>
      </c>
      <c r="H335" s="14">
        <v>155.13999999999999</v>
      </c>
      <c r="I335" s="14">
        <v>155.13999999999999</v>
      </c>
      <c r="J335" s="14">
        <f>+I335</f>
        <v>155.13999999999999</v>
      </c>
      <c r="K335" s="14">
        <f t="shared" si="71"/>
        <v>155.13999999999999</v>
      </c>
      <c r="L335" s="14">
        <f t="shared" si="71"/>
        <v>155.13999999999999</v>
      </c>
      <c r="M335" s="14">
        <f t="shared" si="71"/>
        <v>155.13999999999999</v>
      </c>
      <c r="N335" s="14">
        <v>289.33</v>
      </c>
    </row>
    <row r="336" spans="2:14" s="2" customFormat="1" ht="12.95" hidden="1" customHeight="1">
      <c r="B336" s="27" t="s">
        <v>80</v>
      </c>
      <c r="C336" s="11">
        <f t="shared" si="70"/>
        <v>0</v>
      </c>
      <c r="E336" s="27" t="s">
        <v>80</v>
      </c>
      <c r="F336" s="14"/>
      <c r="G336" s="14"/>
      <c r="H336" s="14"/>
      <c r="I336" s="14"/>
      <c r="J336" s="14">
        <f>+I336</f>
        <v>0</v>
      </c>
      <c r="K336" s="14">
        <f t="shared" ref="K336:N342" si="72">+J336</f>
        <v>0</v>
      </c>
      <c r="L336" s="14">
        <f t="shared" si="72"/>
        <v>0</v>
      </c>
      <c r="M336" s="14">
        <f t="shared" si="72"/>
        <v>0</v>
      </c>
      <c r="N336" s="14">
        <f t="shared" si="72"/>
        <v>0</v>
      </c>
    </row>
    <row r="337" spans="2:14" s="2" customFormat="1" ht="12.95" hidden="1" customHeight="1">
      <c r="B337" s="27" t="s">
        <v>26</v>
      </c>
      <c r="C337" s="11">
        <f t="shared" si="70"/>
        <v>55.51</v>
      </c>
      <c r="E337" s="27" t="s">
        <v>26</v>
      </c>
      <c r="F337" s="85">
        <v>55.51</v>
      </c>
      <c r="G337" s="14">
        <f t="shared" ref="G337:I341" si="73">+F337</f>
        <v>55.51</v>
      </c>
      <c r="H337" s="14">
        <f t="shared" si="73"/>
        <v>55.51</v>
      </c>
      <c r="I337" s="14">
        <f t="shared" si="73"/>
        <v>55.51</v>
      </c>
      <c r="J337" s="14">
        <f t="shared" ref="J337:J342" si="74">+I337</f>
        <v>55.51</v>
      </c>
      <c r="K337" s="14">
        <f t="shared" si="72"/>
        <v>55.51</v>
      </c>
      <c r="L337" s="14">
        <f t="shared" si="72"/>
        <v>55.51</v>
      </c>
      <c r="M337" s="14">
        <f t="shared" si="72"/>
        <v>55.51</v>
      </c>
      <c r="N337" s="14">
        <f t="shared" si="72"/>
        <v>55.51</v>
      </c>
    </row>
    <row r="338" spans="2:14" s="2" customFormat="1" ht="12.95" hidden="1" customHeight="1">
      <c r="B338" s="27" t="s">
        <v>27</v>
      </c>
      <c r="C338" s="11">
        <f t="shared" si="70"/>
        <v>70</v>
      </c>
      <c r="E338" s="27" t="s">
        <v>27</v>
      </c>
      <c r="F338" s="85">
        <v>70</v>
      </c>
      <c r="G338" s="14">
        <f t="shared" si="73"/>
        <v>70</v>
      </c>
      <c r="H338" s="14">
        <f t="shared" si="73"/>
        <v>70</v>
      </c>
      <c r="I338" s="14">
        <f t="shared" si="73"/>
        <v>70</v>
      </c>
      <c r="J338" s="14">
        <f t="shared" si="74"/>
        <v>70</v>
      </c>
      <c r="K338" s="14">
        <f t="shared" si="72"/>
        <v>70</v>
      </c>
      <c r="L338" s="14">
        <f t="shared" si="72"/>
        <v>70</v>
      </c>
      <c r="M338" s="14">
        <f t="shared" si="72"/>
        <v>70</v>
      </c>
      <c r="N338" s="14">
        <f t="shared" si="72"/>
        <v>70</v>
      </c>
    </row>
    <row r="339" spans="2:14" s="2" customFormat="1" ht="12.95" hidden="1" customHeight="1">
      <c r="B339" s="27" t="s">
        <v>28</v>
      </c>
      <c r="C339" s="11">
        <f t="shared" si="70"/>
        <v>93.33</v>
      </c>
      <c r="E339" s="27" t="s">
        <v>28</v>
      </c>
      <c r="F339" s="85">
        <v>93.33</v>
      </c>
      <c r="G339" s="14">
        <f t="shared" si="73"/>
        <v>93.33</v>
      </c>
      <c r="H339" s="14">
        <f t="shared" si="73"/>
        <v>93.33</v>
      </c>
      <c r="I339" s="14">
        <f t="shared" si="73"/>
        <v>93.33</v>
      </c>
      <c r="J339" s="14">
        <f t="shared" si="74"/>
        <v>93.33</v>
      </c>
      <c r="K339" s="14">
        <f t="shared" si="72"/>
        <v>93.33</v>
      </c>
      <c r="L339" s="14">
        <f t="shared" si="72"/>
        <v>93.33</v>
      </c>
      <c r="M339" s="14">
        <f t="shared" si="72"/>
        <v>93.33</v>
      </c>
      <c r="N339" s="14">
        <f t="shared" si="72"/>
        <v>93.33</v>
      </c>
    </row>
    <row r="340" spans="2:14" s="2" customFormat="1" ht="12.95" hidden="1" customHeight="1">
      <c r="B340" s="27" t="s">
        <v>29</v>
      </c>
      <c r="C340" s="11">
        <f t="shared" si="70"/>
        <v>127.72</v>
      </c>
      <c r="E340" s="27" t="s">
        <v>29</v>
      </c>
      <c r="F340" s="85">
        <v>127.72</v>
      </c>
      <c r="G340" s="14">
        <f t="shared" si="73"/>
        <v>127.72</v>
      </c>
      <c r="H340" s="14">
        <f t="shared" si="73"/>
        <v>127.72</v>
      </c>
      <c r="I340" s="14">
        <f t="shared" si="73"/>
        <v>127.72</v>
      </c>
      <c r="J340" s="14">
        <f t="shared" si="74"/>
        <v>127.72</v>
      </c>
      <c r="K340" s="14">
        <f t="shared" si="72"/>
        <v>127.72</v>
      </c>
      <c r="L340" s="14">
        <f t="shared" si="72"/>
        <v>127.72</v>
      </c>
      <c r="M340" s="14">
        <f t="shared" si="72"/>
        <v>127.72</v>
      </c>
      <c r="N340" s="14">
        <f t="shared" si="72"/>
        <v>127.72</v>
      </c>
    </row>
    <row r="341" spans="2:14" s="2" customFormat="1" ht="12.95" hidden="1" customHeight="1">
      <c r="B341" s="27" t="s">
        <v>30</v>
      </c>
      <c r="C341" s="11">
        <f t="shared" si="70"/>
        <v>37.61</v>
      </c>
      <c r="E341" s="27" t="s">
        <v>30</v>
      </c>
      <c r="F341" s="85">
        <v>37.61</v>
      </c>
      <c r="G341" s="14">
        <f t="shared" si="73"/>
        <v>37.61</v>
      </c>
      <c r="H341" s="14">
        <f t="shared" si="73"/>
        <v>37.61</v>
      </c>
      <c r="I341" s="14">
        <f t="shared" si="73"/>
        <v>37.61</v>
      </c>
      <c r="J341" s="14">
        <f t="shared" si="74"/>
        <v>37.61</v>
      </c>
      <c r="K341" s="14">
        <f t="shared" si="72"/>
        <v>37.61</v>
      </c>
      <c r="L341" s="14">
        <f t="shared" si="72"/>
        <v>37.61</v>
      </c>
      <c r="M341" s="14">
        <f t="shared" si="72"/>
        <v>37.61</v>
      </c>
      <c r="N341" s="14">
        <f t="shared" si="72"/>
        <v>37.61</v>
      </c>
    </row>
    <row r="342" spans="2:14" s="2" customFormat="1" ht="12.95" hidden="1" customHeight="1">
      <c r="B342" s="27" t="s">
        <v>32</v>
      </c>
      <c r="C342" s="11">
        <f t="shared" si="70"/>
        <v>0</v>
      </c>
      <c r="E342" s="27" t="s">
        <v>32</v>
      </c>
      <c r="F342" s="85"/>
      <c r="G342" s="14"/>
      <c r="H342" s="14"/>
      <c r="I342" s="14">
        <v>40.46</v>
      </c>
      <c r="J342" s="14">
        <f t="shared" si="74"/>
        <v>40.46</v>
      </c>
      <c r="K342" s="14">
        <f t="shared" si="72"/>
        <v>40.46</v>
      </c>
      <c r="L342" s="14">
        <f t="shared" si="72"/>
        <v>40.46</v>
      </c>
      <c r="M342" s="14">
        <f t="shared" si="72"/>
        <v>40.46</v>
      </c>
      <c r="N342" s="14">
        <f t="shared" si="72"/>
        <v>40.46</v>
      </c>
    </row>
    <row r="343" spans="2:14" s="2" customFormat="1" ht="12.95" hidden="1" customHeight="1">
      <c r="B343" s="28" t="s">
        <v>6</v>
      </c>
      <c r="C343" s="11">
        <f t="shared" si="70"/>
        <v>0</v>
      </c>
      <c r="E343" s="28" t="s">
        <v>6</v>
      </c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2:14" s="2" customFormat="1" ht="12.95" hidden="1" customHeight="1">
      <c r="B344" s="28" t="s">
        <v>7</v>
      </c>
      <c r="C344" s="11">
        <f t="shared" si="70"/>
        <v>0</v>
      </c>
      <c r="E344" s="28" t="s">
        <v>7</v>
      </c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2:14" s="2" customFormat="1" ht="12.95" hidden="1" customHeight="1">
      <c r="B345" s="28" t="s">
        <v>8</v>
      </c>
      <c r="C345" s="11">
        <f t="shared" si="70"/>
        <v>0</v>
      </c>
      <c r="E345" s="28" t="s">
        <v>8</v>
      </c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2:14" s="2" customFormat="1" ht="12.95" hidden="1" customHeight="1">
      <c r="B346" s="29" t="s">
        <v>77</v>
      </c>
      <c r="C346" s="11">
        <f t="shared" si="70"/>
        <v>0</v>
      </c>
      <c r="E346" s="29" t="s">
        <v>77</v>
      </c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2:14" s="2" customFormat="1" ht="12.95" hidden="1" customHeight="1">
      <c r="B347" s="30" t="s">
        <v>81</v>
      </c>
      <c r="C347" s="11">
        <f t="shared" si="70"/>
        <v>30.35</v>
      </c>
      <c r="E347" s="30" t="s">
        <v>81</v>
      </c>
      <c r="F347" s="79">
        <v>30.35</v>
      </c>
      <c r="G347" s="14">
        <f>+F347</f>
        <v>30.35</v>
      </c>
      <c r="H347" s="14">
        <f t="shared" ref="H347:N347" si="75">+G347</f>
        <v>30.35</v>
      </c>
      <c r="I347" s="14">
        <f t="shared" si="75"/>
        <v>30.35</v>
      </c>
      <c r="J347" s="14">
        <f t="shared" si="75"/>
        <v>30.35</v>
      </c>
      <c r="K347" s="14">
        <f t="shared" si="75"/>
        <v>30.35</v>
      </c>
      <c r="L347" s="14">
        <f t="shared" si="75"/>
        <v>30.35</v>
      </c>
      <c r="M347" s="14">
        <f t="shared" si="75"/>
        <v>30.35</v>
      </c>
      <c r="N347" s="14">
        <f t="shared" si="75"/>
        <v>30.35</v>
      </c>
    </row>
    <row r="348" spans="2:14" s="2" customFormat="1" ht="12.95" hidden="1" customHeight="1">
      <c r="B348" s="30" t="s">
        <v>78</v>
      </c>
      <c r="C348" s="11">
        <f t="shared" si="70"/>
        <v>0</v>
      </c>
      <c r="E348" s="30" t="s">
        <v>78</v>
      </c>
      <c r="F348" s="14"/>
      <c r="G348" s="14"/>
      <c r="H348" s="14"/>
      <c r="I348" s="14"/>
      <c r="J348" s="14"/>
      <c r="K348" s="14"/>
      <c r="L348" s="14"/>
      <c r="M348" s="14"/>
      <c r="N348" s="14"/>
    </row>
    <row r="349" spans="2:14" s="2" customFormat="1" ht="12.95" hidden="1" customHeight="1">
      <c r="B349" s="30" t="s">
        <v>82</v>
      </c>
      <c r="C349" s="11">
        <f t="shared" si="70"/>
        <v>0</v>
      </c>
      <c r="E349" s="30" t="s">
        <v>82</v>
      </c>
      <c r="F349" s="14"/>
      <c r="G349" s="14"/>
      <c r="H349" s="14"/>
      <c r="I349" s="14"/>
      <c r="J349" s="14"/>
      <c r="K349" s="14"/>
      <c r="L349" s="14"/>
      <c r="M349" s="14"/>
      <c r="N349" s="14"/>
    </row>
    <row r="350" spans="2:14" s="2" customFormat="1" ht="12.95" hidden="1" customHeight="1">
      <c r="B350" s="31" t="s">
        <v>79</v>
      </c>
      <c r="C350" s="11">
        <f t="shared" si="70"/>
        <v>0</v>
      </c>
      <c r="E350" s="31" t="s">
        <v>79</v>
      </c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2:14" s="2" customFormat="1" ht="12.95" hidden="1" customHeight="1">
      <c r="B351" s="22" t="s">
        <v>9</v>
      </c>
      <c r="C351" s="11">
        <f t="shared" si="70"/>
        <v>-37.67</v>
      </c>
      <c r="E351" s="22" t="s">
        <v>9</v>
      </c>
      <c r="F351" s="20">
        <v>-37.67</v>
      </c>
      <c r="G351" s="20">
        <v>-37.67</v>
      </c>
      <c r="H351" s="20">
        <v>-37.67</v>
      </c>
      <c r="I351" s="20">
        <v>-47.86</v>
      </c>
      <c r="J351" s="20">
        <v>-47.86</v>
      </c>
      <c r="K351" s="20">
        <v>-47.86</v>
      </c>
      <c r="L351" s="20">
        <v>-47.86</v>
      </c>
      <c r="M351" s="20">
        <v>-47.86</v>
      </c>
      <c r="N351" s="20">
        <v>-47.86</v>
      </c>
    </row>
    <row r="352" spans="2:14" s="2" customFormat="1" ht="12.95" hidden="1" customHeight="1">
      <c r="B352" s="22" t="s">
        <v>16</v>
      </c>
      <c r="C352" s="11">
        <f t="shared" si="70"/>
        <v>-86.03</v>
      </c>
      <c r="E352" s="22" t="s">
        <v>16</v>
      </c>
      <c r="F352" s="20">
        <v>-86.03</v>
      </c>
      <c r="G352" s="20">
        <v>-86.03</v>
      </c>
      <c r="H352" s="20">
        <v>-86.03</v>
      </c>
      <c r="I352" s="20">
        <v>-109.31</v>
      </c>
      <c r="J352" s="20">
        <v>-109.31</v>
      </c>
      <c r="K352" s="20">
        <v>-109.31</v>
      </c>
      <c r="L352" s="20">
        <v>-109.31</v>
      </c>
      <c r="M352" s="20">
        <v>-109.31</v>
      </c>
      <c r="N352" s="20">
        <v>-109.31</v>
      </c>
    </row>
    <row r="353" spans="2:14" hidden="1">
      <c r="B353" s="1" t="s">
        <v>18</v>
      </c>
      <c r="C353" s="11">
        <f t="shared" si="70"/>
        <v>33796.119599999998</v>
      </c>
      <c r="E353" s="32" t="s">
        <v>18</v>
      </c>
      <c r="F353" s="82">
        <f>((+F329+F333+F334+F335)*12)+(F331*INT($C$3/3)*12)+((F330+F333)*2)+((F334+F335)*0.78*2)+(F332*INT($C$3/3)*2)+(IF($C$6="s",(F344+12)+(F345*INT($C$3/3)*12),F343*12))+(IF($C$4="s",F346,0))+(((IF(INT($C$3/3)&lt;6,F336,0))+(IF(AND(INT($C$3/6)&gt;0,INT($C$3/6)&lt;2),F337,0))+(IF(AND(INT($C$3/6)&gt;1,INT($C$3/6)&lt;3),F337+F338,0))+(IF(AND(INT($C$3/6)&gt;2,INT($C$3/6)&lt;4),F337+F338+F339,0))+(IF(AND(INT($C$3/6)&gt;3,INT($C$3/6)&lt;5),F337+F338+F339+F340,0))+(IF(INT($C$3/6)&gt;4,F337+F338+F339+F340+F341,0)))*12)+(IF($C$7="s",F342*12,0))++(((IF(INT($C$3/3)&lt;6,F336,0))+(IF(AND(INT($C$3/6)&gt;0,INT($C$3/6)&lt;2),F337,0))+(IF(AND(INT($C$3/6)&gt;1,INT($C$3/6)&lt;3),F337+F338,0))+(IF(AND(INT($C$3/6)&gt;2,INT($C$3/6)&lt;4),F337+F338+F339,0))+(IF(AND(INT($C$3/6)&gt;3,INT($C$3/6)&lt;5),F337+F338+F339+F340,0))+(IF(INT($C$3/6)&gt;4,F337+F338+F339+F340+F341,0)))*2*0.78)+(F347*12)+(F348*2)</f>
        <v>33796.119599999998</v>
      </c>
      <c r="G353" s="82">
        <f t="shared" ref="G353:N353" si="76">((+G329+G333+G334+G335)*12)+(G331*INT($C$3/3)*12)+((G330+G333)*2)+((G334+G335)*0.78*2)+(G332*INT($C$3/3)*2)+(IF($C$6="s",(G344+12)+(G345*INT($C$3/3)*12),G343*12))+(IF($C$4="s",G346,0))+(((IF(INT($C$3/3)&lt;6,G336,0))+(IF(AND(INT($C$3/6)&gt;0,INT($C$3/6)&lt;2),G337,0))+(IF(AND(INT($C$3/6)&gt;1,INT($C$3/6)&lt;3),G337+G338,0))+(IF(AND(INT($C$3/6)&gt;2,INT($C$3/6)&lt;4),G337+G338+G339,0))+(IF(AND(INT($C$3/6)&gt;3,INT($C$3/6)&lt;5),G337+G338+G339+G340,0))+(IF(INT($C$3/6)&gt;4,G337+G338+G339+G340+G341,0)))*12)+(IF($C$7="s",G342*12,0))++(((IF(INT($C$3/3)&lt;6,G336,0))+(IF(AND(INT($C$3/6)&gt;0,INT($C$3/6)&lt;2),G337,0))+(IF(AND(INT($C$3/6)&gt;1,INT($C$3/6)&lt;3),G337+G338,0))+(IF(AND(INT($C$3/6)&gt;2,INT($C$3/6)&lt;4),G337+G338+G339,0))+(IF(AND(INT($C$3/6)&gt;3,INT($C$3/6)&lt;5),G337+G338+G339+G340,0))+(IF(INT($C$3/6)&gt;4,G337+G338+G339+G340+G341,0)))*2*0.78)+(G347*12)+(G348*2)</f>
        <v>35330.099599999994</v>
      </c>
      <c r="H353" s="82">
        <f t="shared" si="76"/>
        <v>35442.799599999991</v>
      </c>
      <c r="I353" s="82">
        <f t="shared" si="76"/>
        <v>37680.379599999993</v>
      </c>
      <c r="J353" s="82">
        <f t="shared" si="76"/>
        <v>37680.379599999993</v>
      </c>
      <c r="K353" s="82">
        <f t="shared" si="76"/>
        <v>37680.379599999993</v>
      </c>
      <c r="L353" s="82">
        <f t="shared" si="76"/>
        <v>37680.379599999993</v>
      </c>
      <c r="M353" s="82">
        <f t="shared" si="76"/>
        <v>38351.328399999991</v>
      </c>
      <c r="N353" s="82">
        <f t="shared" si="76"/>
        <v>40546.828000000001</v>
      </c>
    </row>
    <row r="354" spans="2:14" hidden="1"/>
    <row r="355" spans="2:14" hidden="1"/>
    <row r="356" spans="2:14" hidden="1"/>
    <row r="357" spans="2:14" hidden="1"/>
    <row r="358" spans="2:14" hidden="1"/>
    <row r="359" spans="2:14" hidden="1"/>
    <row r="360" spans="2:14" s="2" customFormat="1" ht="12.95" hidden="1" customHeight="1">
      <c r="B360" s="3"/>
      <c r="C360" s="2" t="str">
        <f>+E361</f>
        <v>Galicia</v>
      </c>
    </row>
    <row r="361" spans="2:14" s="2" customFormat="1" ht="35.25" hidden="1" customHeight="1">
      <c r="C361" s="7" t="str">
        <f>+$C$11</f>
        <v>597-Maestros</v>
      </c>
      <c r="E361" s="15" t="s">
        <v>46</v>
      </c>
      <c r="F361" s="6" t="s">
        <v>60</v>
      </c>
      <c r="G361" s="6" t="s">
        <v>55</v>
      </c>
      <c r="H361" s="6" t="s">
        <v>59</v>
      </c>
      <c r="I361" s="6" t="s">
        <v>54</v>
      </c>
      <c r="J361" s="6" t="s">
        <v>56</v>
      </c>
      <c r="K361" s="6" t="s">
        <v>57</v>
      </c>
      <c r="L361" s="6" t="s">
        <v>58</v>
      </c>
      <c r="M361" s="6" t="s">
        <v>53</v>
      </c>
      <c r="N361" s="6" t="s">
        <v>52</v>
      </c>
    </row>
    <row r="362" spans="2:14" s="2" customFormat="1" ht="12.95" hidden="1" customHeight="1">
      <c r="B362" s="12" t="s">
        <v>1</v>
      </c>
      <c r="C362" s="11" t="str">
        <f t="shared" ref="C362:C388" si="77">IF($C$11=$F$11,F362,IF($C$11=G$11,G362,IF($C$11=H$11,H362,IF($C$11=I$11,I362,IF($C$11=J$11,J362,IF($C$11=K$11,K362,IF($C$11=L$11,L362,IF($C$11=M$11,M362,N362))))))))</f>
        <v>A2</v>
      </c>
      <c r="E362" s="5" t="s">
        <v>1</v>
      </c>
      <c r="F362" s="4" t="s">
        <v>61</v>
      </c>
      <c r="G362" s="4" t="s">
        <v>61</v>
      </c>
      <c r="H362" s="4" t="s">
        <v>61</v>
      </c>
      <c r="I362" s="4" t="s">
        <v>17</v>
      </c>
      <c r="J362" s="4" t="s">
        <v>17</v>
      </c>
      <c r="K362" s="4" t="s">
        <v>17</v>
      </c>
      <c r="L362" s="4" t="s">
        <v>17</v>
      </c>
      <c r="M362" s="4" t="s">
        <v>17</v>
      </c>
      <c r="N362" s="4" t="s">
        <v>17</v>
      </c>
    </row>
    <row r="363" spans="2:14" s="2" customFormat="1" ht="12.95" hidden="1" customHeight="1">
      <c r="B363" s="12" t="str">
        <f>+E363</f>
        <v>Nivel</v>
      </c>
      <c r="C363" s="11">
        <f t="shared" si="77"/>
        <v>21</v>
      </c>
      <c r="E363" s="5" t="s">
        <v>0</v>
      </c>
      <c r="F363" s="4">
        <v>21</v>
      </c>
      <c r="G363" s="4">
        <v>24</v>
      </c>
      <c r="H363" s="4">
        <v>24</v>
      </c>
      <c r="I363" s="4">
        <v>24</v>
      </c>
      <c r="J363" s="4">
        <v>24</v>
      </c>
      <c r="K363" s="4">
        <v>24</v>
      </c>
      <c r="L363" s="4">
        <v>24</v>
      </c>
      <c r="M363" s="4">
        <v>26</v>
      </c>
      <c r="N363" s="4">
        <v>26</v>
      </c>
    </row>
    <row r="364" spans="2:14" s="2" customFormat="1" ht="12.95" hidden="1" customHeight="1">
      <c r="B364" s="13" t="s">
        <v>2</v>
      </c>
      <c r="C364" s="11">
        <f t="shared" si="77"/>
        <v>958.98</v>
      </c>
      <c r="E364" s="13" t="s">
        <v>2</v>
      </c>
      <c r="F364" s="14">
        <v>958.98</v>
      </c>
      <c r="G364" s="14">
        <v>958.98</v>
      </c>
      <c r="H364" s="14">
        <v>958.98</v>
      </c>
      <c r="I364" s="14">
        <v>1109.0999999999999</v>
      </c>
      <c r="J364" s="14">
        <f t="shared" ref="J364:N369" si="78">+I364</f>
        <v>1109.0999999999999</v>
      </c>
      <c r="K364" s="14">
        <f t="shared" si="78"/>
        <v>1109.0999999999999</v>
      </c>
      <c r="L364" s="14">
        <f t="shared" si="78"/>
        <v>1109.0999999999999</v>
      </c>
      <c r="M364" s="14">
        <f t="shared" si="78"/>
        <v>1109.0999999999999</v>
      </c>
      <c r="N364" s="14">
        <f t="shared" si="78"/>
        <v>1109.0999999999999</v>
      </c>
    </row>
    <row r="365" spans="2:14" s="2" customFormat="1" ht="12.95" hidden="1" customHeight="1">
      <c r="B365" s="13" t="s">
        <v>64</v>
      </c>
      <c r="C365" s="11">
        <f t="shared" si="77"/>
        <v>699.38</v>
      </c>
      <c r="E365" s="13" t="s">
        <v>64</v>
      </c>
      <c r="F365" s="19">
        <v>699.38</v>
      </c>
      <c r="G365" s="19">
        <v>699.38</v>
      </c>
      <c r="H365" s="19">
        <v>699.38</v>
      </c>
      <c r="I365" s="19">
        <v>684.36</v>
      </c>
      <c r="J365" s="14">
        <f t="shared" si="78"/>
        <v>684.36</v>
      </c>
      <c r="K365" s="14">
        <f t="shared" si="78"/>
        <v>684.36</v>
      </c>
      <c r="L365" s="14">
        <f t="shared" si="78"/>
        <v>684.36</v>
      </c>
      <c r="M365" s="14">
        <f t="shared" si="78"/>
        <v>684.36</v>
      </c>
      <c r="N365" s="14">
        <f t="shared" si="78"/>
        <v>684.36</v>
      </c>
    </row>
    <row r="366" spans="2:14" s="2" customFormat="1" ht="12.95" hidden="1" customHeight="1">
      <c r="B366" s="13" t="s">
        <v>3</v>
      </c>
      <c r="C366" s="11">
        <f t="shared" si="77"/>
        <v>34.770000000000003</v>
      </c>
      <c r="E366" s="13" t="s">
        <v>3</v>
      </c>
      <c r="F366" s="14">
        <v>34.770000000000003</v>
      </c>
      <c r="G366" s="14">
        <v>34.770000000000003</v>
      </c>
      <c r="H366" s="14">
        <v>34.770000000000003</v>
      </c>
      <c r="I366" s="14">
        <v>42.65</v>
      </c>
      <c r="J366" s="14">
        <f t="shared" si="78"/>
        <v>42.65</v>
      </c>
      <c r="K366" s="14">
        <f t="shared" si="78"/>
        <v>42.65</v>
      </c>
      <c r="L366" s="14">
        <f t="shared" si="78"/>
        <v>42.65</v>
      </c>
      <c r="M366" s="14">
        <f t="shared" si="78"/>
        <v>42.65</v>
      </c>
      <c r="N366" s="14">
        <f t="shared" si="78"/>
        <v>42.65</v>
      </c>
    </row>
    <row r="367" spans="2:14" s="2" customFormat="1" ht="12.95" hidden="1" customHeight="1">
      <c r="B367" s="13" t="s">
        <v>65</v>
      </c>
      <c r="C367" s="11">
        <f t="shared" si="77"/>
        <v>25.35</v>
      </c>
      <c r="E367" s="13" t="s">
        <v>65</v>
      </c>
      <c r="F367" s="19">
        <v>25.35</v>
      </c>
      <c r="G367" s="19">
        <v>25.35</v>
      </c>
      <c r="H367" s="19">
        <v>25.35</v>
      </c>
      <c r="I367" s="19">
        <v>26.31</v>
      </c>
      <c r="J367" s="14">
        <f t="shared" si="78"/>
        <v>26.31</v>
      </c>
      <c r="K367" s="14">
        <f t="shared" si="78"/>
        <v>26.31</v>
      </c>
      <c r="L367" s="14">
        <f t="shared" si="78"/>
        <v>26.31</v>
      </c>
      <c r="M367" s="14">
        <f t="shared" si="78"/>
        <v>26.31</v>
      </c>
      <c r="N367" s="14">
        <f t="shared" si="78"/>
        <v>26.31</v>
      </c>
    </row>
    <row r="368" spans="2:14" s="2" customFormat="1" ht="12.95" hidden="1" customHeight="1">
      <c r="B368" s="13" t="s">
        <v>4</v>
      </c>
      <c r="C368" s="11">
        <f t="shared" si="77"/>
        <v>473.35</v>
      </c>
      <c r="E368" s="13" t="s">
        <v>4</v>
      </c>
      <c r="F368" s="14">
        <v>473.35</v>
      </c>
      <c r="G368" s="14">
        <v>582.91999999999996</v>
      </c>
      <c r="H368" s="14">
        <v>582.91999999999996</v>
      </c>
      <c r="I368" s="14">
        <v>582.91999999999996</v>
      </c>
      <c r="J368" s="14">
        <f t="shared" si="78"/>
        <v>582.91999999999996</v>
      </c>
      <c r="K368" s="14">
        <f t="shared" si="78"/>
        <v>582.91999999999996</v>
      </c>
      <c r="L368" s="14">
        <f t="shared" si="78"/>
        <v>582.91999999999996</v>
      </c>
      <c r="M368" s="14">
        <f t="shared" si="78"/>
        <v>582.91999999999996</v>
      </c>
      <c r="N368" s="14">
        <f t="shared" si="78"/>
        <v>582.91999999999996</v>
      </c>
    </row>
    <row r="369" spans="2:14" s="2" customFormat="1" ht="12.95" hidden="1" customHeight="1">
      <c r="B369" s="13" t="s">
        <v>5</v>
      </c>
      <c r="C369" s="11">
        <f t="shared" si="77"/>
        <v>539.29</v>
      </c>
      <c r="E369" s="13" t="s">
        <v>5</v>
      </c>
      <c r="F369" s="14">
        <v>539.29</v>
      </c>
      <c r="G369" s="14">
        <v>539.29</v>
      </c>
      <c r="H369" s="14">
        <v>539.29</v>
      </c>
      <c r="I369" s="14">
        <v>539.29</v>
      </c>
      <c r="J369" s="14">
        <f t="shared" si="78"/>
        <v>539.29</v>
      </c>
      <c r="K369" s="14">
        <f t="shared" si="78"/>
        <v>539.29</v>
      </c>
      <c r="L369" s="14">
        <f t="shared" si="78"/>
        <v>539.29</v>
      </c>
      <c r="M369" s="14">
        <f t="shared" si="78"/>
        <v>539.29</v>
      </c>
      <c r="N369" s="14">
        <f t="shared" si="78"/>
        <v>539.29</v>
      </c>
    </row>
    <row r="370" spans="2:14" s="2" customFormat="1" ht="12.95" hidden="1" customHeight="1">
      <c r="B370" s="27" t="s">
        <v>66</v>
      </c>
      <c r="C370" s="11">
        <f t="shared" si="77"/>
        <v>0</v>
      </c>
      <c r="E370" s="27" t="s">
        <v>66</v>
      </c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2:14" s="2" customFormat="1" ht="12.95" hidden="1" customHeight="1">
      <c r="B371" s="27" t="s">
        <v>80</v>
      </c>
      <c r="C371" s="11">
        <f t="shared" si="77"/>
        <v>0</v>
      </c>
      <c r="E371" s="27" t="s">
        <v>80</v>
      </c>
      <c r="F371" s="14"/>
      <c r="G371" s="14"/>
      <c r="H371" s="14"/>
      <c r="I371" s="14"/>
      <c r="J371" s="14">
        <f>+I371</f>
        <v>0</v>
      </c>
      <c r="K371" s="14">
        <f>+J371</f>
        <v>0</v>
      </c>
      <c r="L371" s="14">
        <f>+K371</f>
        <v>0</v>
      </c>
      <c r="M371" s="14">
        <f>+L371</f>
        <v>0</v>
      </c>
      <c r="N371" s="14">
        <f>+M371</f>
        <v>0</v>
      </c>
    </row>
    <row r="372" spans="2:14" s="2" customFormat="1" ht="12.95" hidden="1" customHeight="1">
      <c r="B372" s="27" t="s">
        <v>26</v>
      </c>
      <c r="C372" s="11">
        <f t="shared" si="77"/>
        <v>59.21</v>
      </c>
      <c r="E372" s="27" t="s">
        <v>26</v>
      </c>
      <c r="F372" s="85">
        <v>59.21</v>
      </c>
      <c r="G372" s="14">
        <f t="shared" ref="G372:I377" si="79">+F372</f>
        <v>59.21</v>
      </c>
      <c r="H372" s="14">
        <f t="shared" si="79"/>
        <v>59.21</v>
      </c>
      <c r="I372" s="14">
        <f t="shared" si="79"/>
        <v>59.21</v>
      </c>
      <c r="J372" s="14">
        <f t="shared" ref="J372:N377" si="80">+I372</f>
        <v>59.21</v>
      </c>
      <c r="K372" s="14">
        <f t="shared" si="80"/>
        <v>59.21</v>
      </c>
      <c r="L372" s="14">
        <f t="shared" si="80"/>
        <v>59.21</v>
      </c>
      <c r="M372" s="14">
        <f t="shared" si="80"/>
        <v>59.21</v>
      </c>
      <c r="N372" s="14">
        <f t="shared" si="80"/>
        <v>59.21</v>
      </c>
    </row>
    <row r="373" spans="2:14" s="2" customFormat="1" ht="12.95" hidden="1" customHeight="1">
      <c r="B373" s="27" t="s">
        <v>27</v>
      </c>
      <c r="C373" s="11">
        <f t="shared" si="77"/>
        <v>76.13</v>
      </c>
      <c r="E373" s="27" t="s">
        <v>27</v>
      </c>
      <c r="F373" s="85">
        <v>76.13</v>
      </c>
      <c r="G373" s="14">
        <f t="shared" si="79"/>
        <v>76.13</v>
      </c>
      <c r="H373" s="14">
        <f t="shared" si="79"/>
        <v>76.13</v>
      </c>
      <c r="I373" s="14">
        <f t="shared" si="79"/>
        <v>76.13</v>
      </c>
      <c r="J373" s="14">
        <f t="shared" si="80"/>
        <v>76.13</v>
      </c>
      <c r="K373" s="14">
        <f t="shared" si="80"/>
        <v>76.13</v>
      </c>
      <c r="L373" s="14">
        <f t="shared" si="80"/>
        <v>76.13</v>
      </c>
      <c r="M373" s="14">
        <f t="shared" si="80"/>
        <v>76.13</v>
      </c>
      <c r="N373" s="14">
        <f t="shared" si="80"/>
        <v>76.13</v>
      </c>
    </row>
    <row r="374" spans="2:14" s="2" customFormat="1" ht="12.95" hidden="1" customHeight="1">
      <c r="B374" s="27" t="s">
        <v>28</v>
      </c>
      <c r="C374" s="11">
        <f t="shared" si="77"/>
        <v>101.53</v>
      </c>
      <c r="E374" s="27" t="s">
        <v>28</v>
      </c>
      <c r="F374" s="85">
        <v>101.53</v>
      </c>
      <c r="G374" s="14">
        <f t="shared" si="79"/>
        <v>101.53</v>
      </c>
      <c r="H374" s="14">
        <f t="shared" si="79"/>
        <v>101.53</v>
      </c>
      <c r="I374" s="14">
        <f t="shared" si="79"/>
        <v>101.53</v>
      </c>
      <c r="J374" s="14">
        <f t="shared" si="80"/>
        <v>101.53</v>
      </c>
      <c r="K374" s="14">
        <f t="shared" si="80"/>
        <v>101.53</v>
      </c>
      <c r="L374" s="14">
        <f t="shared" si="80"/>
        <v>101.53</v>
      </c>
      <c r="M374" s="14">
        <f t="shared" si="80"/>
        <v>101.53</v>
      </c>
      <c r="N374" s="14">
        <f t="shared" si="80"/>
        <v>101.53</v>
      </c>
    </row>
    <row r="375" spans="2:14" s="2" customFormat="1" ht="12.95" hidden="1" customHeight="1">
      <c r="B375" s="27" t="s">
        <v>29</v>
      </c>
      <c r="C375" s="11">
        <f t="shared" si="77"/>
        <v>143.81</v>
      </c>
      <c r="E375" s="27" t="s">
        <v>29</v>
      </c>
      <c r="F375" s="85">
        <v>143.81</v>
      </c>
      <c r="G375" s="14">
        <f t="shared" si="79"/>
        <v>143.81</v>
      </c>
      <c r="H375" s="14">
        <f t="shared" si="79"/>
        <v>143.81</v>
      </c>
      <c r="I375" s="14">
        <f t="shared" si="79"/>
        <v>143.81</v>
      </c>
      <c r="J375" s="14">
        <f t="shared" si="80"/>
        <v>143.81</v>
      </c>
      <c r="K375" s="14">
        <f t="shared" si="80"/>
        <v>143.81</v>
      </c>
      <c r="L375" s="14">
        <f t="shared" si="80"/>
        <v>143.81</v>
      </c>
      <c r="M375" s="14">
        <f t="shared" si="80"/>
        <v>143.81</v>
      </c>
      <c r="N375" s="14">
        <f t="shared" si="80"/>
        <v>143.81</v>
      </c>
    </row>
    <row r="376" spans="2:14" s="2" customFormat="1" ht="12.95" hidden="1" customHeight="1">
      <c r="B376" s="27" t="s">
        <v>30</v>
      </c>
      <c r="C376" s="11">
        <f t="shared" si="77"/>
        <v>42.29</v>
      </c>
      <c r="E376" s="27" t="s">
        <v>30</v>
      </c>
      <c r="F376" s="85">
        <v>42.29</v>
      </c>
      <c r="G376" s="14">
        <f t="shared" si="79"/>
        <v>42.29</v>
      </c>
      <c r="H376" s="14">
        <f t="shared" si="79"/>
        <v>42.29</v>
      </c>
      <c r="I376" s="14">
        <f t="shared" si="79"/>
        <v>42.29</v>
      </c>
      <c r="J376" s="14">
        <f t="shared" si="80"/>
        <v>42.29</v>
      </c>
      <c r="K376" s="14">
        <f t="shared" si="80"/>
        <v>42.29</v>
      </c>
      <c r="L376" s="14">
        <f t="shared" si="80"/>
        <v>42.29</v>
      </c>
      <c r="M376" s="14">
        <f t="shared" si="80"/>
        <v>42.29</v>
      </c>
      <c r="N376" s="14">
        <f t="shared" si="80"/>
        <v>42.29</v>
      </c>
    </row>
    <row r="377" spans="2:14" s="2" customFormat="1" ht="12.95" hidden="1" customHeight="1">
      <c r="B377" s="27" t="s">
        <v>32</v>
      </c>
      <c r="C377" s="11">
        <f t="shared" si="77"/>
        <v>43.62</v>
      </c>
      <c r="E377" s="27" t="s">
        <v>32</v>
      </c>
      <c r="F377" s="85">
        <v>43.62</v>
      </c>
      <c r="G377" s="14">
        <f t="shared" si="79"/>
        <v>43.62</v>
      </c>
      <c r="H377" s="14">
        <f t="shared" si="79"/>
        <v>43.62</v>
      </c>
      <c r="I377" s="14">
        <f t="shared" si="79"/>
        <v>43.62</v>
      </c>
      <c r="J377" s="14">
        <f t="shared" si="80"/>
        <v>43.62</v>
      </c>
      <c r="K377" s="14">
        <f t="shared" si="80"/>
        <v>43.62</v>
      </c>
      <c r="L377" s="14">
        <f t="shared" si="80"/>
        <v>43.62</v>
      </c>
      <c r="M377" s="14">
        <f t="shared" si="80"/>
        <v>43.62</v>
      </c>
      <c r="N377" s="14">
        <f t="shared" si="80"/>
        <v>43.62</v>
      </c>
    </row>
    <row r="378" spans="2:14" s="2" customFormat="1" ht="12.95" hidden="1" customHeight="1">
      <c r="B378" s="28" t="s">
        <v>6</v>
      </c>
      <c r="C378" s="11">
        <f t="shared" si="77"/>
        <v>0</v>
      </c>
      <c r="E378" s="28" t="s">
        <v>6</v>
      </c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2:14" s="2" customFormat="1" ht="12.95" hidden="1" customHeight="1">
      <c r="B379" s="28" t="s">
        <v>7</v>
      </c>
      <c r="C379" s="11">
        <f t="shared" si="77"/>
        <v>0</v>
      </c>
      <c r="E379" s="28" t="s">
        <v>7</v>
      </c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2:14" s="2" customFormat="1" ht="12.95" hidden="1" customHeight="1">
      <c r="B380" s="28" t="s">
        <v>8</v>
      </c>
      <c r="C380" s="11">
        <f t="shared" si="77"/>
        <v>0</v>
      </c>
      <c r="E380" s="28" t="s">
        <v>8</v>
      </c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2:14" s="2" customFormat="1" ht="12.95" hidden="1" customHeight="1">
      <c r="B381" s="29" t="s">
        <v>77</v>
      </c>
      <c r="C381" s="11">
        <f t="shared" si="77"/>
        <v>0</v>
      </c>
      <c r="E381" s="29" t="s">
        <v>77</v>
      </c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2:14" s="2" customFormat="1" ht="12.95" hidden="1" customHeight="1">
      <c r="B382" s="30" t="s">
        <v>81</v>
      </c>
      <c r="C382" s="11">
        <f t="shared" si="77"/>
        <v>0</v>
      </c>
      <c r="E382" s="30" t="s">
        <v>81</v>
      </c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2:14" s="2" customFormat="1" ht="12.95" hidden="1" customHeight="1">
      <c r="B383" s="30" t="s">
        <v>78</v>
      </c>
      <c r="C383" s="11">
        <f t="shared" si="77"/>
        <v>0</v>
      </c>
      <c r="E383" s="30" t="s">
        <v>78</v>
      </c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2:14" s="2" customFormat="1" ht="12.95" hidden="1" customHeight="1">
      <c r="B384" s="30" t="s">
        <v>82</v>
      </c>
      <c r="C384" s="11">
        <f t="shared" si="77"/>
        <v>0</v>
      </c>
      <c r="E384" s="30" t="s">
        <v>82</v>
      </c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2:14" s="2" customFormat="1" ht="12.95" hidden="1" customHeight="1">
      <c r="B385" s="31" t="s">
        <v>79</v>
      </c>
      <c r="C385" s="11">
        <f t="shared" si="77"/>
        <v>0</v>
      </c>
      <c r="E385" s="31" t="s">
        <v>79</v>
      </c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2:14" s="2" customFormat="1" ht="12.95" hidden="1" customHeight="1">
      <c r="B386" s="22" t="s">
        <v>9</v>
      </c>
      <c r="C386" s="11">
        <f t="shared" si="77"/>
        <v>-37.67</v>
      </c>
      <c r="E386" s="22" t="s">
        <v>9</v>
      </c>
      <c r="F386" s="20">
        <v>-37.67</v>
      </c>
      <c r="G386" s="20">
        <v>-37.67</v>
      </c>
      <c r="H386" s="20">
        <v>-37.67</v>
      </c>
      <c r="I386" s="20">
        <v>-47.86</v>
      </c>
      <c r="J386" s="20">
        <v>-47.86</v>
      </c>
      <c r="K386" s="20">
        <v>-47.86</v>
      </c>
      <c r="L386" s="20">
        <v>-47.86</v>
      </c>
      <c r="M386" s="20">
        <v>-47.86</v>
      </c>
      <c r="N386" s="20">
        <v>-47.86</v>
      </c>
    </row>
    <row r="387" spans="2:14" s="2" customFormat="1" ht="12.95" hidden="1" customHeight="1">
      <c r="B387" s="22" t="s">
        <v>16</v>
      </c>
      <c r="C387" s="11">
        <f t="shared" si="77"/>
        <v>-86.03</v>
      </c>
      <c r="E387" s="22" t="s">
        <v>16</v>
      </c>
      <c r="F387" s="20">
        <v>-86.03</v>
      </c>
      <c r="G387" s="20">
        <v>-86.03</v>
      </c>
      <c r="H387" s="20">
        <v>-86.03</v>
      </c>
      <c r="I387" s="20">
        <v>-109.31</v>
      </c>
      <c r="J387" s="20">
        <v>-109.31</v>
      </c>
      <c r="K387" s="20">
        <v>-109.31</v>
      </c>
      <c r="L387" s="20">
        <v>-109.31</v>
      </c>
      <c r="M387" s="20">
        <v>-109.31</v>
      </c>
      <c r="N387" s="20">
        <v>-109.31</v>
      </c>
    </row>
    <row r="388" spans="2:14" hidden="1">
      <c r="B388" s="1" t="s">
        <v>18</v>
      </c>
      <c r="C388" s="11">
        <f t="shared" si="77"/>
        <v>32865.789599999996</v>
      </c>
      <c r="E388" s="32" t="s">
        <v>18</v>
      </c>
      <c r="F388" s="82">
        <f>((+F364+F368+F369+F370)*12)+(F366*INT($C$3/3)*12)+((F365+F368)*2)+((F369+F370)*0.78*2)+(F367*INT($C$3/3)*2)+(IF($C$6="s",(F379+12)+(F380*INT($C$3/3)*12),F378*12))+(IF($C$4="s",F381,0))+(((IF(INT($C$3/3)&lt;6,F371,0))+(IF(AND(INT($C$3/6)&gt;0,INT($C$3/6)&lt;2),F372,0))+(IF(AND(INT($C$3/6)&gt;1,INT($C$3/6)&lt;3),F372+F373,0))+(IF(AND(INT($C$3/6)&gt;2,INT($C$3/6)&lt;4),F372+F373+F374,0))+(IF(AND(INT($C$3/6)&gt;3,INT($C$3/6)&lt;5),F372+F373+F374+F375,0))+(IF(INT($C$3/6)&gt;4,F372+F373+F374+F375+F376,0)))*12)+(IF($C$7="s",F377*12,0))++(((IF(INT($C$3/3)&lt;6,F371,0))+(IF(AND(INT($C$3/6)&gt;0,INT($C$3/6)&lt;2),F372,0))+(IF(AND(INT($C$3/6)&gt;1,INT($C$3/6)&lt;3),F372+F373,0))+(IF(AND(INT($C$3/6)&gt;2,INT($C$3/6)&lt;4),F372+F373+F374,0))+(IF(AND(INT($C$3/6)&gt;3,INT($C$3/6)&lt;5),F372+F373+F374+F375,0))+(IF(INT($C$3/6)&gt;4,F372+F373+F374+F375+F376,0)))*2*0.78)+(F382*12)+(F383*2)</f>
        <v>32865.789599999996</v>
      </c>
      <c r="G388" s="82">
        <f t="shared" ref="G388:N388" si="81">((+G364+G368+G369+G370)*12)+(G366*INT($C$3/3)*12)+((G365+G368)*2)+((G369+G370)*0.78*2)+(G367*INT($C$3/3)*2)+(IF($C$6="s",(G379+12)+(G380*INT($C$3/3)*12),G378*12))+(IF($C$4="s",G381,0))+(((IF(INT($C$3/3)&lt;6,G371,0))+(IF(AND(INT($C$3/6)&gt;0,INT($C$3/6)&lt;2),G372,0))+(IF(AND(INT($C$3/6)&gt;1,INT($C$3/6)&lt;3),G372+G373,0))+(IF(AND(INT($C$3/6)&gt;2,INT($C$3/6)&lt;4),G372+G373+G374,0))+(IF(AND(INT($C$3/6)&gt;3,INT($C$3/6)&lt;5),G372+G373+G374+G375,0))+(IF(INT($C$3/6)&gt;4,G372+G373+G374+G375+G376,0)))*12)+(IF($C$7="s",G377*12,0))++(((IF(INT($C$3/3)&lt;6,G371,0))+(IF(AND(INT($C$3/6)&gt;0,INT($C$3/6)&lt;2),G372,0))+(IF(AND(INT($C$3/6)&gt;1,INT($C$3/6)&lt;3),G372+G373,0))+(IF(AND(INT($C$3/6)&gt;2,INT($C$3/6)&lt;4),G372+G373+G374,0))+(IF(AND(INT($C$3/6)&gt;3,INT($C$3/6)&lt;5),G372+G373+G374+G375,0))+(IF(INT($C$3/6)&gt;4,G372+G373+G374+G375+G376,0)))*2*0.78)+(G382*12)+(G383*2)</f>
        <v>34399.7696</v>
      </c>
      <c r="H388" s="82">
        <f t="shared" si="81"/>
        <v>34399.7696</v>
      </c>
      <c r="I388" s="82">
        <f t="shared" si="81"/>
        <v>36750.049600000006</v>
      </c>
      <c r="J388" s="82">
        <f t="shared" si="81"/>
        <v>36750.049600000006</v>
      </c>
      <c r="K388" s="82">
        <f t="shared" si="81"/>
        <v>36750.049600000006</v>
      </c>
      <c r="L388" s="82">
        <f t="shared" si="81"/>
        <v>36750.049600000006</v>
      </c>
      <c r="M388" s="82">
        <f t="shared" si="81"/>
        <v>36750.049600000006</v>
      </c>
      <c r="N388" s="82">
        <f t="shared" si="81"/>
        <v>36750.049600000006</v>
      </c>
    </row>
    <row r="389" spans="2:14" hidden="1"/>
    <row r="390" spans="2:14" hidden="1"/>
    <row r="391" spans="2:14" hidden="1"/>
    <row r="392" spans="2:14" hidden="1"/>
    <row r="393" spans="2:14" hidden="1"/>
    <row r="394" spans="2:14" hidden="1"/>
    <row r="395" spans="2:14" s="2" customFormat="1" ht="12.95" hidden="1" customHeight="1">
      <c r="B395" s="3"/>
      <c r="C395" s="2" t="str">
        <f>+E396</f>
        <v>La Rioja</v>
      </c>
    </row>
    <row r="396" spans="2:14" s="2" customFormat="1" ht="35.25" hidden="1" customHeight="1">
      <c r="C396" s="7" t="str">
        <f>+$C$11</f>
        <v>597-Maestros</v>
      </c>
      <c r="E396" s="15" t="s">
        <v>69</v>
      </c>
      <c r="F396" s="6" t="s">
        <v>60</v>
      </c>
      <c r="G396" s="6" t="s">
        <v>55</v>
      </c>
      <c r="H396" s="6" t="s">
        <v>59</v>
      </c>
      <c r="I396" s="6" t="s">
        <v>54</v>
      </c>
      <c r="J396" s="6" t="s">
        <v>56</v>
      </c>
      <c r="K396" s="6" t="s">
        <v>57</v>
      </c>
      <c r="L396" s="6" t="s">
        <v>58</v>
      </c>
      <c r="M396" s="6" t="s">
        <v>53</v>
      </c>
      <c r="N396" s="6" t="s">
        <v>52</v>
      </c>
    </row>
    <row r="397" spans="2:14" s="2" customFormat="1" ht="12.95" hidden="1" customHeight="1">
      <c r="B397" s="12" t="s">
        <v>1</v>
      </c>
      <c r="C397" s="11" t="str">
        <f t="shared" ref="C397:C423" si="82">IF($C$11=$F$11,F397,IF($C$11=G$11,G397,IF($C$11=H$11,H397,IF($C$11=I$11,I397,IF($C$11=J$11,J397,IF($C$11=K$11,K397,IF($C$11=L$11,L397,IF($C$11=M$11,M397,N397))))))))</f>
        <v>A2</v>
      </c>
      <c r="E397" s="5" t="s">
        <v>1</v>
      </c>
      <c r="F397" s="4" t="s">
        <v>61</v>
      </c>
      <c r="G397" s="4" t="s">
        <v>61</v>
      </c>
      <c r="H397" s="4" t="s">
        <v>61</v>
      </c>
      <c r="I397" s="4" t="s">
        <v>17</v>
      </c>
      <c r="J397" s="4" t="s">
        <v>17</v>
      </c>
      <c r="K397" s="4" t="s">
        <v>17</v>
      </c>
      <c r="L397" s="4" t="s">
        <v>17</v>
      </c>
      <c r="M397" s="4" t="s">
        <v>17</v>
      </c>
      <c r="N397" s="4" t="s">
        <v>17</v>
      </c>
    </row>
    <row r="398" spans="2:14" s="2" customFormat="1" ht="12.95" hidden="1" customHeight="1">
      <c r="B398" s="12" t="str">
        <f>+E398</f>
        <v>Nivel</v>
      </c>
      <c r="C398" s="11">
        <f t="shared" si="82"/>
        <v>21</v>
      </c>
      <c r="E398" s="5" t="s">
        <v>0</v>
      </c>
      <c r="F398" s="4">
        <v>21</v>
      </c>
      <c r="G398" s="4">
        <v>24</v>
      </c>
      <c r="H398" s="4">
        <v>24</v>
      </c>
      <c r="I398" s="4">
        <v>24</v>
      </c>
      <c r="J398" s="4">
        <v>24</v>
      </c>
      <c r="K398" s="4">
        <v>24</v>
      </c>
      <c r="L398" s="4">
        <v>24</v>
      </c>
      <c r="M398" s="4">
        <v>26</v>
      </c>
      <c r="N398" s="4">
        <v>26</v>
      </c>
    </row>
    <row r="399" spans="2:14" s="2" customFormat="1" ht="12.95" hidden="1" customHeight="1">
      <c r="B399" s="13" t="s">
        <v>2</v>
      </c>
      <c r="C399" s="11">
        <f t="shared" si="82"/>
        <v>958.98</v>
      </c>
      <c r="E399" s="13" t="s">
        <v>2</v>
      </c>
      <c r="F399" s="14">
        <v>958.98</v>
      </c>
      <c r="G399" s="14">
        <v>958.98</v>
      </c>
      <c r="H399" s="14">
        <v>958.98</v>
      </c>
      <c r="I399" s="14">
        <v>1109.0999999999999</v>
      </c>
      <c r="J399" s="14">
        <f t="shared" ref="J399:N404" si="83">+I399</f>
        <v>1109.0999999999999</v>
      </c>
      <c r="K399" s="14">
        <f t="shared" si="83"/>
        <v>1109.0999999999999</v>
      </c>
      <c r="L399" s="14">
        <f t="shared" si="83"/>
        <v>1109.0999999999999</v>
      </c>
      <c r="M399" s="14">
        <f t="shared" si="83"/>
        <v>1109.0999999999999</v>
      </c>
      <c r="N399" s="14">
        <f t="shared" si="83"/>
        <v>1109.0999999999999</v>
      </c>
    </row>
    <row r="400" spans="2:14" s="2" customFormat="1" ht="12.95" hidden="1" customHeight="1">
      <c r="B400" s="13" t="s">
        <v>64</v>
      </c>
      <c r="C400" s="11">
        <f t="shared" si="82"/>
        <v>699.38</v>
      </c>
      <c r="E400" s="13" t="s">
        <v>64</v>
      </c>
      <c r="F400" s="19">
        <v>699.38</v>
      </c>
      <c r="G400" s="19">
        <v>699.38</v>
      </c>
      <c r="H400" s="19">
        <v>699.38</v>
      </c>
      <c r="I400" s="19">
        <v>684.36</v>
      </c>
      <c r="J400" s="14">
        <f t="shared" si="83"/>
        <v>684.36</v>
      </c>
      <c r="K400" s="14">
        <f t="shared" si="83"/>
        <v>684.36</v>
      </c>
      <c r="L400" s="14">
        <f t="shared" si="83"/>
        <v>684.36</v>
      </c>
      <c r="M400" s="14">
        <f t="shared" si="83"/>
        <v>684.36</v>
      </c>
      <c r="N400" s="14">
        <f t="shared" si="83"/>
        <v>684.36</v>
      </c>
    </row>
    <row r="401" spans="2:14" s="2" customFormat="1" ht="12.95" hidden="1" customHeight="1">
      <c r="B401" s="13" t="s">
        <v>3</v>
      </c>
      <c r="C401" s="11">
        <f t="shared" si="82"/>
        <v>34.770000000000003</v>
      </c>
      <c r="E401" s="13" t="s">
        <v>3</v>
      </c>
      <c r="F401" s="14">
        <v>34.770000000000003</v>
      </c>
      <c r="G401" s="14">
        <v>34.770000000000003</v>
      </c>
      <c r="H401" s="14">
        <v>34.770000000000003</v>
      </c>
      <c r="I401" s="14">
        <v>42.65</v>
      </c>
      <c r="J401" s="14">
        <f t="shared" si="83"/>
        <v>42.65</v>
      </c>
      <c r="K401" s="14">
        <f t="shared" si="83"/>
        <v>42.65</v>
      </c>
      <c r="L401" s="14">
        <f t="shared" si="83"/>
        <v>42.65</v>
      </c>
      <c r="M401" s="14">
        <f t="shared" si="83"/>
        <v>42.65</v>
      </c>
      <c r="N401" s="14">
        <f t="shared" si="83"/>
        <v>42.65</v>
      </c>
    </row>
    <row r="402" spans="2:14" s="2" customFormat="1" ht="12.95" hidden="1" customHeight="1">
      <c r="B402" s="13" t="s">
        <v>65</v>
      </c>
      <c r="C402" s="11">
        <f t="shared" si="82"/>
        <v>25.35</v>
      </c>
      <c r="E402" s="13" t="s">
        <v>65</v>
      </c>
      <c r="F402" s="19">
        <v>25.35</v>
      </c>
      <c r="G402" s="19">
        <v>25.35</v>
      </c>
      <c r="H402" s="19">
        <v>25.35</v>
      </c>
      <c r="I402" s="19">
        <v>26.31</v>
      </c>
      <c r="J402" s="14">
        <f t="shared" si="83"/>
        <v>26.31</v>
      </c>
      <c r="K402" s="14">
        <f t="shared" si="83"/>
        <v>26.31</v>
      </c>
      <c r="L402" s="14">
        <f t="shared" si="83"/>
        <v>26.31</v>
      </c>
      <c r="M402" s="14">
        <f t="shared" si="83"/>
        <v>26.31</v>
      </c>
      <c r="N402" s="14">
        <f t="shared" si="83"/>
        <v>26.31</v>
      </c>
    </row>
    <row r="403" spans="2:14" s="2" customFormat="1" ht="12.95" hidden="1" customHeight="1">
      <c r="B403" s="13" t="s">
        <v>4</v>
      </c>
      <c r="C403" s="11">
        <f t="shared" si="82"/>
        <v>473.35</v>
      </c>
      <c r="E403" s="13" t="s">
        <v>4</v>
      </c>
      <c r="F403" s="14">
        <v>473.35</v>
      </c>
      <c r="G403" s="14">
        <v>582.91999999999996</v>
      </c>
      <c r="H403" s="14">
        <v>582.91999999999996</v>
      </c>
      <c r="I403" s="14">
        <v>582.91999999999996</v>
      </c>
      <c r="J403" s="14">
        <f t="shared" si="83"/>
        <v>582.91999999999996</v>
      </c>
      <c r="K403" s="14">
        <f t="shared" si="83"/>
        <v>582.91999999999996</v>
      </c>
      <c r="L403" s="14">
        <f t="shared" si="83"/>
        <v>582.91999999999996</v>
      </c>
      <c r="M403" s="14">
        <f t="shared" si="83"/>
        <v>582.91999999999996</v>
      </c>
      <c r="N403" s="14">
        <f t="shared" si="83"/>
        <v>582.91999999999996</v>
      </c>
    </row>
    <row r="404" spans="2:14" s="2" customFormat="1" ht="12.95" hidden="1" customHeight="1">
      <c r="B404" s="13" t="s">
        <v>5</v>
      </c>
      <c r="C404" s="11">
        <f t="shared" si="82"/>
        <v>651.9</v>
      </c>
      <c r="E404" s="13" t="s">
        <v>5</v>
      </c>
      <c r="F404" s="14">
        <v>651.9</v>
      </c>
      <c r="G404" s="14">
        <v>659.09</v>
      </c>
      <c r="H404" s="14">
        <f>+G404</f>
        <v>659.09</v>
      </c>
      <c r="I404" s="14">
        <v>669.84</v>
      </c>
      <c r="J404" s="14">
        <f t="shared" si="83"/>
        <v>669.84</v>
      </c>
      <c r="K404" s="14">
        <f t="shared" si="83"/>
        <v>669.84</v>
      </c>
      <c r="L404" s="14">
        <f t="shared" si="83"/>
        <v>669.84</v>
      </c>
      <c r="M404" s="14">
        <f t="shared" si="83"/>
        <v>669.84</v>
      </c>
      <c r="N404" s="14">
        <f t="shared" si="83"/>
        <v>669.84</v>
      </c>
    </row>
    <row r="405" spans="2:14" s="2" customFormat="1" ht="12.95" hidden="1" customHeight="1">
      <c r="B405" s="27" t="s">
        <v>66</v>
      </c>
      <c r="C405" s="11">
        <f t="shared" si="82"/>
        <v>0</v>
      </c>
      <c r="E405" s="27" t="s">
        <v>66</v>
      </c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2:14" s="2" customFormat="1" ht="12.95" hidden="1" customHeight="1">
      <c r="B406" s="27" t="s">
        <v>80</v>
      </c>
      <c r="C406" s="11">
        <f t="shared" si="82"/>
        <v>0</v>
      </c>
      <c r="E406" s="27" t="s">
        <v>80</v>
      </c>
      <c r="F406" s="14"/>
      <c r="G406" s="14"/>
      <c r="H406" s="14"/>
      <c r="I406" s="14"/>
      <c r="J406" s="14">
        <f>+I406</f>
        <v>0</v>
      </c>
      <c r="K406" s="14">
        <f>+J406</f>
        <v>0</v>
      </c>
      <c r="L406" s="14">
        <f>+K406</f>
        <v>0</v>
      </c>
      <c r="M406" s="14">
        <f>+L406</f>
        <v>0</v>
      </c>
      <c r="N406" s="14">
        <f>+M406</f>
        <v>0</v>
      </c>
    </row>
    <row r="407" spans="2:14" s="2" customFormat="1" ht="12.95" hidden="1" customHeight="1">
      <c r="B407" s="27" t="s">
        <v>26</v>
      </c>
      <c r="C407" s="11">
        <f t="shared" si="82"/>
        <v>59.37</v>
      </c>
      <c r="E407" s="27" t="s">
        <v>26</v>
      </c>
      <c r="F407" s="85">
        <v>59.37</v>
      </c>
      <c r="G407" s="14">
        <f t="shared" ref="G407:I412" si="84">+F407</f>
        <v>59.37</v>
      </c>
      <c r="H407" s="14">
        <f t="shared" si="84"/>
        <v>59.37</v>
      </c>
      <c r="I407" s="14">
        <f t="shared" si="84"/>
        <v>59.37</v>
      </c>
      <c r="J407" s="14">
        <f t="shared" ref="J407:N412" si="85">+I407</f>
        <v>59.37</v>
      </c>
      <c r="K407" s="14">
        <f t="shared" si="85"/>
        <v>59.37</v>
      </c>
      <c r="L407" s="14">
        <f t="shared" si="85"/>
        <v>59.37</v>
      </c>
      <c r="M407" s="14">
        <f t="shared" si="85"/>
        <v>59.37</v>
      </c>
      <c r="N407" s="14">
        <f t="shared" si="85"/>
        <v>59.37</v>
      </c>
    </row>
    <row r="408" spans="2:14" s="2" customFormat="1" ht="12.95" hidden="1" customHeight="1">
      <c r="B408" s="27" t="s">
        <v>27</v>
      </c>
      <c r="C408" s="11">
        <f t="shared" si="82"/>
        <v>74.92</v>
      </c>
      <c r="E408" s="27" t="s">
        <v>27</v>
      </c>
      <c r="F408" s="85">
        <v>74.92</v>
      </c>
      <c r="G408" s="14">
        <f t="shared" si="84"/>
        <v>74.92</v>
      </c>
      <c r="H408" s="14">
        <f t="shared" si="84"/>
        <v>74.92</v>
      </c>
      <c r="I408" s="14">
        <f t="shared" si="84"/>
        <v>74.92</v>
      </c>
      <c r="J408" s="14">
        <f t="shared" si="85"/>
        <v>74.92</v>
      </c>
      <c r="K408" s="14">
        <f t="shared" si="85"/>
        <v>74.92</v>
      </c>
      <c r="L408" s="14">
        <f t="shared" si="85"/>
        <v>74.92</v>
      </c>
      <c r="M408" s="14">
        <f t="shared" si="85"/>
        <v>74.92</v>
      </c>
      <c r="N408" s="14">
        <f t="shared" si="85"/>
        <v>74.92</v>
      </c>
    </row>
    <row r="409" spans="2:14" s="2" customFormat="1" ht="12.95" hidden="1" customHeight="1">
      <c r="B409" s="27" t="s">
        <v>28</v>
      </c>
      <c r="C409" s="11">
        <f t="shared" si="82"/>
        <v>99.88</v>
      </c>
      <c r="E409" s="27" t="s">
        <v>28</v>
      </c>
      <c r="F409" s="85">
        <v>99.88</v>
      </c>
      <c r="G409" s="14">
        <f t="shared" si="84"/>
        <v>99.88</v>
      </c>
      <c r="H409" s="14">
        <f t="shared" si="84"/>
        <v>99.88</v>
      </c>
      <c r="I409" s="14">
        <f t="shared" si="84"/>
        <v>99.88</v>
      </c>
      <c r="J409" s="14">
        <f t="shared" si="85"/>
        <v>99.88</v>
      </c>
      <c r="K409" s="14">
        <f t="shared" si="85"/>
        <v>99.88</v>
      </c>
      <c r="L409" s="14">
        <f t="shared" si="85"/>
        <v>99.88</v>
      </c>
      <c r="M409" s="14">
        <f t="shared" si="85"/>
        <v>99.88</v>
      </c>
      <c r="N409" s="14">
        <f t="shared" si="85"/>
        <v>99.88</v>
      </c>
    </row>
    <row r="410" spans="2:14" s="2" customFormat="1" ht="12.95" hidden="1" customHeight="1">
      <c r="B410" s="27" t="s">
        <v>29</v>
      </c>
      <c r="C410" s="11">
        <f t="shared" si="82"/>
        <v>136.68</v>
      </c>
      <c r="E410" s="27" t="s">
        <v>29</v>
      </c>
      <c r="F410" s="85">
        <v>136.68</v>
      </c>
      <c r="G410" s="14">
        <f t="shared" si="84"/>
        <v>136.68</v>
      </c>
      <c r="H410" s="14">
        <f t="shared" si="84"/>
        <v>136.68</v>
      </c>
      <c r="I410" s="14">
        <f t="shared" si="84"/>
        <v>136.68</v>
      </c>
      <c r="J410" s="14">
        <f t="shared" si="85"/>
        <v>136.68</v>
      </c>
      <c r="K410" s="14">
        <f t="shared" si="85"/>
        <v>136.68</v>
      </c>
      <c r="L410" s="14">
        <f t="shared" si="85"/>
        <v>136.68</v>
      </c>
      <c r="M410" s="14">
        <f t="shared" si="85"/>
        <v>136.68</v>
      </c>
      <c r="N410" s="14">
        <f t="shared" si="85"/>
        <v>136.68</v>
      </c>
    </row>
    <row r="411" spans="2:14" s="2" customFormat="1" ht="12.95" hidden="1" customHeight="1">
      <c r="B411" s="27" t="s">
        <v>30</v>
      </c>
      <c r="C411" s="11">
        <f t="shared" si="82"/>
        <v>40.22</v>
      </c>
      <c r="E411" s="27" t="s">
        <v>30</v>
      </c>
      <c r="F411" s="85">
        <v>40.22</v>
      </c>
      <c r="G411" s="14">
        <f t="shared" si="84"/>
        <v>40.22</v>
      </c>
      <c r="H411" s="14">
        <f t="shared" si="84"/>
        <v>40.22</v>
      </c>
      <c r="I411" s="14">
        <f t="shared" si="84"/>
        <v>40.22</v>
      </c>
      <c r="J411" s="14">
        <f t="shared" si="85"/>
        <v>40.22</v>
      </c>
      <c r="K411" s="14">
        <f t="shared" si="85"/>
        <v>40.22</v>
      </c>
      <c r="L411" s="14">
        <f t="shared" si="85"/>
        <v>40.22</v>
      </c>
      <c r="M411" s="14">
        <f t="shared" si="85"/>
        <v>40.22</v>
      </c>
      <c r="N411" s="14">
        <f t="shared" si="85"/>
        <v>40.22</v>
      </c>
    </row>
    <row r="412" spans="2:14" s="2" customFormat="1" ht="12.95" hidden="1" customHeight="1">
      <c r="B412" s="27" t="s">
        <v>32</v>
      </c>
      <c r="C412" s="11">
        <f t="shared" si="82"/>
        <v>0</v>
      </c>
      <c r="E412" s="27" t="s">
        <v>32</v>
      </c>
      <c r="F412" s="85"/>
      <c r="G412" s="14">
        <f t="shared" si="84"/>
        <v>0</v>
      </c>
      <c r="H412" s="14">
        <f t="shared" si="84"/>
        <v>0</v>
      </c>
      <c r="I412" s="14">
        <f t="shared" si="84"/>
        <v>0</v>
      </c>
      <c r="J412" s="14">
        <f t="shared" si="85"/>
        <v>0</v>
      </c>
      <c r="K412" s="14">
        <f t="shared" si="85"/>
        <v>0</v>
      </c>
      <c r="L412" s="14">
        <f t="shared" si="85"/>
        <v>0</v>
      </c>
      <c r="M412" s="14">
        <f t="shared" si="85"/>
        <v>0</v>
      </c>
      <c r="N412" s="14">
        <f t="shared" si="85"/>
        <v>0</v>
      </c>
    </row>
    <row r="413" spans="2:14" s="2" customFormat="1" ht="12.95" hidden="1" customHeight="1">
      <c r="B413" s="28" t="s">
        <v>6</v>
      </c>
      <c r="C413" s="11">
        <f t="shared" si="82"/>
        <v>0</v>
      </c>
      <c r="E413" s="28" t="s">
        <v>6</v>
      </c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2:14" s="2" customFormat="1" ht="12.95" hidden="1" customHeight="1">
      <c r="B414" s="28" t="s">
        <v>7</v>
      </c>
      <c r="C414" s="11">
        <f t="shared" si="82"/>
        <v>0</v>
      </c>
      <c r="E414" s="28" t="s">
        <v>7</v>
      </c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2:14" s="2" customFormat="1" ht="12.95" hidden="1" customHeight="1">
      <c r="B415" s="28" t="s">
        <v>8</v>
      </c>
      <c r="C415" s="11">
        <f t="shared" si="82"/>
        <v>0</v>
      </c>
      <c r="E415" s="28" t="s">
        <v>8</v>
      </c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2:14" s="2" customFormat="1" ht="12.95" hidden="1" customHeight="1">
      <c r="B416" s="29" t="s">
        <v>77</v>
      </c>
      <c r="C416" s="11">
        <f t="shared" si="82"/>
        <v>0</v>
      </c>
      <c r="E416" s="29" t="s">
        <v>77</v>
      </c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2:14" s="2" customFormat="1" ht="12.95" hidden="1" customHeight="1">
      <c r="B417" s="30" t="s">
        <v>81</v>
      </c>
      <c r="C417" s="11">
        <f t="shared" si="82"/>
        <v>0</v>
      </c>
      <c r="E417" s="30" t="s">
        <v>81</v>
      </c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2:14" s="2" customFormat="1" ht="12.95" hidden="1" customHeight="1">
      <c r="B418" s="30" t="s">
        <v>78</v>
      </c>
      <c r="C418" s="11">
        <f t="shared" si="82"/>
        <v>0</v>
      </c>
      <c r="E418" s="30" t="s">
        <v>78</v>
      </c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2:14" s="2" customFormat="1" ht="12.95" hidden="1" customHeight="1">
      <c r="B419" s="30" t="s">
        <v>82</v>
      </c>
      <c r="C419" s="11">
        <f t="shared" si="82"/>
        <v>0</v>
      </c>
      <c r="E419" s="30" t="s">
        <v>82</v>
      </c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2:14" s="2" customFormat="1" ht="12.95" hidden="1" customHeight="1">
      <c r="B420" s="31" t="s">
        <v>79</v>
      </c>
      <c r="C420" s="11">
        <f t="shared" si="82"/>
        <v>0</v>
      </c>
      <c r="E420" s="31" t="s">
        <v>79</v>
      </c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2:14" s="2" customFormat="1" ht="12.95" hidden="1" customHeight="1">
      <c r="B421" s="22" t="s">
        <v>9</v>
      </c>
      <c r="C421" s="11">
        <f t="shared" si="82"/>
        <v>-37.67</v>
      </c>
      <c r="E421" s="22" t="s">
        <v>9</v>
      </c>
      <c r="F421" s="20">
        <v>-37.67</v>
      </c>
      <c r="G421" s="20">
        <v>-37.67</v>
      </c>
      <c r="H421" s="20">
        <v>-37.67</v>
      </c>
      <c r="I421" s="20">
        <v>-47.86</v>
      </c>
      <c r="J421" s="20">
        <v>-47.86</v>
      </c>
      <c r="K421" s="20">
        <v>-47.86</v>
      </c>
      <c r="L421" s="20">
        <v>-47.86</v>
      </c>
      <c r="M421" s="20">
        <v>-47.86</v>
      </c>
      <c r="N421" s="20">
        <v>-47.86</v>
      </c>
    </row>
    <row r="422" spans="2:14" s="2" customFormat="1" ht="12.95" hidden="1" customHeight="1">
      <c r="B422" s="22" t="s">
        <v>16</v>
      </c>
      <c r="C422" s="11">
        <f t="shared" si="82"/>
        <v>-86.03</v>
      </c>
      <c r="E422" s="22" t="s">
        <v>16</v>
      </c>
      <c r="F422" s="20">
        <v>-86.03</v>
      </c>
      <c r="G422" s="20">
        <v>-86.03</v>
      </c>
      <c r="H422" s="20">
        <v>-86.03</v>
      </c>
      <c r="I422" s="20">
        <v>-109.31</v>
      </c>
      <c r="J422" s="20">
        <v>-109.31</v>
      </c>
      <c r="K422" s="20">
        <v>-109.31</v>
      </c>
      <c r="L422" s="20">
        <v>-109.31</v>
      </c>
      <c r="M422" s="20">
        <v>-109.31</v>
      </c>
      <c r="N422" s="20">
        <v>-109.31</v>
      </c>
    </row>
    <row r="423" spans="2:14" hidden="1">
      <c r="B423" s="1" t="s">
        <v>18</v>
      </c>
      <c r="C423" s="11">
        <f t="shared" si="82"/>
        <v>34356.169200000004</v>
      </c>
      <c r="E423" s="32" t="s">
        <v>18</v>
      </c>
      <c r="F423" s="82">
        <f>((+F399+F403+F404+F405)*12)+(F401*INT($C$3/3)*12)+((F400+F403)*2)+((F404+F405)*0.78*2)+(F402*INT($C$3/3)*2)+(IF($C$6="s",(F414+12)+(F415*INT($C$3/3)*12),F413*12))+(IF($C$4="s",F416,0))+(((IF(INT($C$3/3)&lt;6,F406,0))+(IF(AND(INT($C$3/6)&gt;0,INT($C$3/6)&lt;2),F407,0))+(IF(AND(INT($C$3/6)&gt;1,INT($C$3/6)&lt;3),F407+F408,0))+(IF(AND(INT($C$3/6)&gt;2,INT($C$3/6)&lt;4),F407+F408+F409,0))+(IF(AND(INT($C$3/6)&gt;3,INT($C$3/6)&lt;5),F407+F408+F409+F410,0))+(IF(INT($C$3/6)&gt;4,F407+F408+F409+F410+F411,0)))*12)+(IF($C$7="s",F412*12,0))++(((IF(INT($C$3/3)&lt;6,F406,0))+(IF(AND(INT($C$3/6)&gt;0,INT($C$3/6)&lt;2),F407,0))+(IF(AND(INT($C$3/6)&gt;1,INT($C$3/6)&lt;3),F407+F408,0))+(IF(AND(INT($C$3/6)&gt;2,INT($C$3/6)&lt;4),F407+F408+F409,0))+(IF(AND(INT($C$3/6)&gt;3,INT($C$3/6)&lt;5),F407+F408+F409+F410,0))+(IF(INT($C$3/6)&gt;4,F407+F408+F409+F410+F411,0)))*2*0.78)+(F417*12)+(F418*2)</f>
        <v>34356.169200000004</v>
      </c>
      <c r="G423" s="82">
        <f t="shared" ref="G423:N423" si="86">((+G399+G403+G404+G405)*12)+(G401*INT($C$3/3)*12)+((G400+G403)*2)+((G404+G405)*0.78*2)+(G402*INT($C$3/3)*2)+(IF($C$6="s",(G414+12)+(G415*INT($C$3/3)*12),G413*12))+(IF($C$4="s",G416,0))+(((IF(INT($C$3/3)&lt;6,G406,0))+(IF(AND(INT($C$3/6)&gt;0,INT($C$3/6)&lt;2),G407,0))+(IF(AND(INT($C$3/6)&gt;1,INT($C$3/6)&lt;3),G407+G408,0))+(IF(AND(INT($C$3/6)&gt;2,INT($C$3/6)&lt;4),G407+G408+G409,0))+(IF(AND(INT($C$3/6)&gt;3,INT($C$3/6)&lt;5),G407+G408+G409+G410,0))+(IF(INT($C$3/6)&gt;4,G407+G408+G409+G410+G411,0)))*12)+(IF($C$7="s",G412*12,0))++(((IF(INT($C$3/3)&lt;6,G406,0))+(IF(AND(INT($C$3/6)&gt;0,INT($C$3/6)&lt;2),G407,0))+(IF(AND(INT($C$3/6)&gt;1,INT($C$3/6)&lt;3),G407+G408,0))+(IF(AND(INT($C$3/6)&gt;2,INT($C$3/6)&lt;4),G407+G408+G409,0))+(IF(AND(INT($C$3/6)&gt;3,INT($C$3/6)&lt;5),G407+G408+G409+G410,0))+(IF(INT($C$3/6)&gt;4,G407+G408+G409+G410+G411,0)))*2*0.78)+(G417*12)+(G418*2)</f>
        <v>35987.645600000003</v>
      </c>
      <c r="H423" s="82">
        <f t="shared" si="86"/>
        <v>35987.645600000003</v>
      </c>
      <c r="I423" s="82">
        <f t="shared" si="86"/>
        <v>38483.695600000006</v>
      </c>
      <c r="J423" s="82">
        <f t="shared" si="86"/>
        <v>38483.695600000006</v>
      </c>
      <c r="K423" s="82">
        <f t="shared" si="86"/>
        <v>38483.695600000006</v>
      </c>
      <c r="L423" s="82">
        <f t="shared" si="86"/>
        <v>38483.695600000006</v>
      </c>
      <c r="M423" s="82">
        <f t="shared" si="86"/>
        <v>38483.695600000006</v>
      </c>
      <c r="N423" s="82">
        <f t="shared" si="86"/>
        <v>38483.695600000006</v>
      </c>
    </row>
    <row r="424" spans="2:14" hidden="1"/>
    <row r="425" spans="2:14" hidden="1"/>
    <row r="426" spans="2:14" hidden="1"/>
    <row r="427" spans="2:14" hidden="1"/>
    <row r="428" spans="2:14" hidden="1"/>
    <row r="429" spans="2:14" hidden="1"/>
    <row r="430" spans="2:14" s="2" customFormat="1" ht="12.95" hidden="1" customHeight="1">
      <c r="B430" s="3"/>
      <c r="C430" s="2" t="str">
        <f>+E431</f>
        <v>Madrid</v>
      </c>
    </row>
    <row r="431" spans="2:14" s="2" customFormat="1" ht="35.25" hidden="1" customHeight="1">
      <c r="C431" s="7" t="str">
        <f>+$C$11</f>
        <v>597-Maestros</v>
      </c>
      <c r="E431" s="15" t="s">
        <v>70</v>
      </c>
      <c r="F431" s="6" t="s">
        <v>60</v>
      </c>
      <c r="G431" s="6" t="s">
        <v>55</v>
      </c>
      <c r="H431" s="6" t="s">
        <v>59</v>
      </c>
      <c r="I431" s="6" t="s">
        <v>54</v>
      </c>
      <c r="J431" s="6" t="s">
        <v>56</v>
      </c>
      <c r="K431" s="6" t="s">
        <v>57</v>
      </c>
      <c r="L431" s="6" t="s">
        <v>58</v>
      </c>
      <c r="M431" s="6" t="s">
        <v>53</v>
      </c>
      <c r="N431" s="6" t="s">
        <v>52</v>
      </c>
    </row>
    <row r="432" spans="2:14" s="2" customFormat="1" ht="12.95" hidden="1" customHeight="1">
      <c r="B432" s="12" t="s">
        <v>1</v>
      </c>
      <c r="C432" s="11" t="str">
        <f t="shared" ref="C432:C458" si="87">IF($C$11=$F$11,F432,IF($C$11=G$11,G432,IF($C$11=H$11,H432,IF($C$11=I$11,I432,IF($C$11=J$11,J432,IF($C$11=K$11,K432,IF($C$11=L$11,L432,IF($C$11=M$11,M432,N432))))))))</f>
        <v>A2</v>
      </c>
      <c r="E432" s="5" t="s">
        <v>1</v>
      </c>
      <c r="F432" s="4" t="s">
        <v>61</v>
      </c>
      <c r="G432" s="4" t="s">
        <v>61</v>
      </c>
      <c r="H432" s="4" t="s">
        <v>61</v>
      </c>
      <c r="I432" s="4" t="s">
        <v>17</v>
      </c>
      <c r="J432" s="4" t="s">
        <v>17</v>
      </c>
      <c r="K432" s="4" t="s">
        <v>17</v>
      </c>
      <c r="L432" s="4" t="s">
        <v>17</v>
      </c>
      <c r="M432" s="4" t="s">
        <v>17</v>
      </c>
      <c r="N432" s="4" t="s">
        <v>17</v>
      </c>
    </row>
    <row r="433" spans="2:14" s="2" customFormat="1" ht="12.95" hidden="1" customHeight="1">
      <c r="B433" s="12" t="str">
        <f>+E433</f>
        <v>Nivel</v>
      </c>
      <c r="C433" s="11">
        <f t="shared" si="87"/>
        <v>21</v>
      </c>
      <c r="E433" s="5" t="s">
        <v>0</v>
      </c>
      <c r="F433" s="4">
        <v>21</v>
      </c>
      <c r="G433" s="4">
        <v>24</v>
      </c>
      <c r="H433" s="4">
        <v>24</v>
      </c>
      <c r="I433" s="4">
        <v>24</v>
      </c>
      <c r="J433" s="4">
        <v>24</v>
      </c>
      <c r="K433" s="4">
        <v>24</v>
      </c>
      <c r="L433" s="4">
        <v>24</v>
      </c>
      <c r="M433" s="4">
        <v>26</v>
      </c>
      <c r="N433" s="4">
        <v>26</v>
      </c>
    </row>
    <row r="434" spans="2:14" s="2" customFormat="1" ht="12.95" hidden="1" customHeight="1">
      <c r="B434" s="13" t="s">
        <v>2</v>
      </c>
      <c r="C434" s="11">
        <f t="shared" si="87"/>
        <v>958.98</v>
      </c>
      <c r="E434" s="13" t="s">
        <v>2</v>
      </c>
      <c r="F434" s="14">
        <v>958.98</v>
      </c>
      <c r="G434" s="14">
        <v>958.98</v>
      </c>
      <c r="H434" s="14">
        <v>958.98</v>
      </c>
      <c r="I434" s="14">
        <v>1109.0999999999999</v>
      </c>
      <c r="J434" s="14">
        <f t="shared" ref="J434:N440" si="88">+I434</f>
        <v>1109.0999999999999</v>
      </c>
      <c r="K434" s="14">
        <f t="shared" si="88"/>
        <v>1109.0999999999999</v>
      </c>
      <c r="L434" s="14">
        <f t="shared" si="88"/>
        <v>1109.0999999999999</v>
      </c>
      <c r="M434" s="14">
        <f t="shared" si="88"/>
        <v>1109.0999999999999</v>
      </c>
      <c r="N434" s="14">
        <f t="shared" si="88"/>
        <v>1109.0999999999999</v>
      </c>
    </row>
    <row r="435" spans="2:14" s="2" customFormat="1" ht="12.95" hidden="1" customHeight="1">
      <c r="B435" s="13" t="s">
        <v>64</v>
      </c>
      <c r="C435" s="11">
        <f t="shared" si="87"/>
        <v>699.38</v>
      </c>
      <c r="E435" s="13" t="s">
        <v>64</v>
      </c>
      <c r="F435" s="19">
        <v>699.38</v>
      </c>
      <c r="G435" s="19">
        <v>699.38</v>
      </c>
      <c r="H435" s="19">
        <v>699.38</v>
      </c>
      <c r="I435" s="19">
        <v>684.36</v>
      </c>
      <c r="J435" s="14">
        <f t="shared" si="88"/>
        <v>684.36</v>
      </c>
      <c r="K435" s="14">
        <f t="shared" si="88"/>
        <v>684.36</v>
      </c>
      <c r="L435" s="14">
        <f t="shared" si="88"/>
        <v>684.36</v>
      </c>
      <c r="M435" s="14">
        <f t="shared" si="88"/>
        <v>684.36</v>
      </c>
      <c r="N435" s="14">
        <f t="shared" si="88"/>
        <v>684.36</v>
      </c>
    </row>
    <row r="436" spans="2:14" s="2" customFormat="1" ht="12.95" hidden="1" customHeight="1">
      <c r="B436" s="13" t="s">
        <v>3</v>
      </c>
      <c r="C436" s="11">
        <f t="shared" si="87"/>
        <v>34.770000000000003</v>
      </c>
      <c r="E436" s="13" t="s">
        <v>3</v>
      </c>
      <c r="F436" s="14">
        <v>34.770000000000003</v>
      </c>
      <c r="G436" s="14">
        <v>34.770000000000003</v>
      </c>
      <c r="H436" s="14">
        <v>34.770000000000003</v>
      </c>
      <c r="I436" s="14">
        <v>42.65</v>
      </c>
      <c r="J436" s="14">
        <f t="shared" si="88"/>
        <v>42.65</v>
      </c>
      <c r="K436" s="14">
        <f t="shared" si="88"/>
        <v>42.65</v>
      </c>
      <c r="L436" s="14">
        <f t="shared" si="88"/>
        <v>42.65</v>
      </c>
      <c r="M436" s="14">
        <f t="shared" si="88"/>
        <v>42.65</v>
      </c>
      <c r="N436" s="14">
        <f t="shared" si="88"/>
        <v>42.65</v>
      </c>
    </row>
    <row r="437" spans="2:14" s="2" customFormat="1" ht="12.95" hidden="1" customHeight="1">
      <c r="B437" s="13" t="s">
        <v>65</v>
      </c>
      <c r="C437" s="11">
        <f t="shared" si="87"/>
        <v>25.35</v>
      </c>
      <c r="E437" s="13" t="s">
        <v>65</v>
      </c>
      <c r="F437" s="19">
        <v>25.35</v>
      </c>
      <c r="G437" s="19">
        <v>25.35</v>
      </c>
      <c r="H437" s="19">
        <v>25.35</v>
      </c>
      <c r="I437" s="19">
        <v>26.31</v>
      </c>
      <c r="J437" s="14">
        <f t="shared" si="88"/>
        <v>26.31</v>
      </c>
      <c r="K437" s="14">
        <f t="shared" si="88"/>
        <v>26.31</v>
      </c>
      <c r="L437" s="14">
        <f t="shared" si="88"/>
        <v>26.31</v>
      </c>
      <c r="M437" s="14">
        <f t="shared" si="88"/>
        <v>26.31</v>
      </c>
      <c r="N437" s="14">
        <f t="shared" si="88"/>
        <v>26.31</v>
      </c>
    </row>
    <row r="438" spans="2:14" s="2" customFormat="1" ht="12.95" hidden="1" customHeight="1">
      <c r="B438" s="13" t="s">
        <v>4</v>
      </c>
      <c r="C438" s="11">
        <f t="shared" si="87"/>
        <v>473.35</v>
      </c>
      <c r="E438" s="13" t="s">
        <v>4</v>
      </c>
      <c r="F438" s="14">
        <v>473.35</v>
      </c>
      <c r="G438" s="14">
        <v>582.91999999999996</v>
      </c>
      <c r="H438" s="14">
        <v>582.91999999999996</v>
      </c>
      <c r="I438" s="14">
        <v>582.91999999999996</v>
      </c>
      <c r="J438" s="14">
        <f t="shared" si="88"/>
        <v>582.91999999999996</v>
      </c>
      <c r="K438" s="14">
        <f t="shared" si="88"/>
        <v>582.91999999999996</v>
      </c>
      <c r="L438" s="14">
        <f t="shared" si="88"/>
        <v>582.91999999999996</v>
      </c>
      <c r="M438" s="14">
        <f t="shared" si="88"/>
        <v>582.91999999999996</v>
      </c>
      <c r="N438" s="14">
        <f t="shared" si="88"/>
        <v>582.91999999999996</v>
      </c>
    </row>
    <row r="439" spans="2:14" s="2" customFormat="1" ht="12.95" hidden="1" customHeight="1">
      <c r="B439" s="13" t="s">
        <v>5</v>
      </c>
      <c r="C439" s="11">
        <f t="shared" si="87"/>
        <v>227.4</v>
      </c>
      <c r="E439" s="13" t="s">
        <v>5</v>
      </c>
      <c r="F439" s="14">
        <v>227.4</v>
      </c>
      <c r="G439" s="14">
        <v>227.4</v>
      </c>
      <c r="H439" s="14">
        <f>+G439</f>
        <v>227.4</v>
      </c>
      <c r="I439" s="14">
        <f t="shared" ref="I439" si="89">+H439</f>
        <v>227.4</v>
      </c>
      <c r="J439" s="14">
        <f t="shared" si="88"/>
        <v>227.4</v>
      </c>
      <c r="K439" s="14">
        <f t="shared" si="88"/>
        <v>227.4</v>
      </c>
      <c r="L439" s="14">
        <f t="shared" si="88"/>
        <v>227.4</v>
      </c>
      <c r="M439" s="14">
        <f t="shared" si="88"/>
        <v>227.4</v>
      </c>
      <c r="N439" s="14">
        <f t="shared" si="88"/>
        <v>227.4</v>
      </c>
    </row>
    <row r="440" spans="2:14" s="2" customFormat="1" ht="12.95" hidden="1" customHeight="1">
      <c r="B440" s="27" t="s">
        <v>66</v>
      </c>
      <c r="C440" s="11">
        <f t="shared" si="87"/>
        <v>331.47</v>
      </c>
      <c r="E440" s="27" t="s">
        <v>66</v>
      </c>
      <c r="F440" s="14">
        <v>331.47</v>
      </c>
      <c r="G440" s="14">
        <v>331.47</v>
      </c>
      <c r="H440" s="14">
        <f>+G440</f>
        <v>331.47</v>
      </c>
      <c r="I440" s="14">
        <f t="shared" ref="I440" si="90">+H440</f>
        <v>331.47</v>
      </c>
      <c r="J440" s="14">
        <f t="shared" si="88"/>
        <v>331.47</v>
      </c>
      <c r="K440" s="14">
        <f t="shared" si="88"/>
        <v>331.47</v>
      </c>
      <c r="L440" s="14">
        <f t="shared" si="88"/>
        <v>331.47</v>
      </c>
      <c r="M440" s="14">
        <f t="shared" si="88"/>
        <v>331.47</v>
      </c>
      <c r="N440" s="14">
        <f t="shared" si="88"/>
        <v>331.47</v>
      </c>
    </row>
    <row r="441" spans="2:14" s="2" customFormat="1" ht="12.95" hidden="1" customHeight="1">
      <c r="B441" s="27" t="s">
        <v>80</v>
      </c>
      <c r="C441" s="11">
        <f t="shared" si="87"/>
        <v>0</v>
      </c>
      <c r="E441" s="27" t="s">
        <v>80</v>
      </c>
      <c r="F441" s="14"/>
      <c r="G441" s="14"/>
      <c r="H441" s="14"/>
      <c r="I441" s="14"/>
      <c r="J441" s="14">
        <f>+I441</f>
        <v>0</v>
      </c>
      <c r="K441" s="14">
        <f>+J441</f>
        <v>0</v>
      </c>
      <c r="L441" s="14">
        <f>+K441</f>
        <v>0</v>
      </c>
      <c r="M441" s="14">
        <f>+L441</f>
        <v>0</v>
      </c>
      <c r="N441" s="14">
        <f>+M441</f>
        <v>0</v>
      </c>
    </row>
    <row r="442" spans="2:14" s="2" customFormat="1" ht="12.95" hidden="1" customHeight="1">
      <c r="B442" s="27" t="s">
        <v>26</v>
      </c>
      <c r="C442" s="11">
        <f t="shared" si="87"/>
        <v>54.25</v>
      </c>
      <c r="E442" s="27" t="s">
        <v>26</v>
      </c>
      <c r="F442" s="85">
        <v>54.25</v>
      </c>
      <c r="G442" s="14">
        <f t="shared" ref="G442:I446" si="91">+F442</f>
        <v>54.25</v>
      </c>
      <c r="H442" s="14">
        <f t="shared" si="91"/>
        <v>54.25</v>
      </c>
      <c r="I442" s="14">
        <f t="shared" si="91"/>
        <v>54.25</v>
      </c>
      <c r="J442" s="14">
        <f t="shared" ref="J442:N447" si="92">+I442</f>
        <v>54.25</v>
      </c>
      <c r="K442" s="14">
        <f t="shared" si="92"/>
        <v>54.25</v>
      </c>
      <c r="L442" s="14">
        <f t="shared" si="92"/>
        <v>54.25</v>
      </c>
      <c r="M442" s="14">
        <f t="shared" si="92"/>
        <v>54.25</v>
      </c>
      <c r="N442" s="14">
        <f t="shared" si="92"/>
        <v>54.25</v>
      </c>
    </row>
    <row r="443" spans="2:14" s="2" customFormat="1" ht="12.95" hidden="1" customHeight="1">
      <c r="B443" s="27" t="s">
        <v>27</v>
      </c>
      <c r="C443" s="11">
        <f t="shared" si="87"/>
        <v>68.430000000000007</v>
      </c>
      <c r="E443" s="27" t="s">
        <v>27</v>
      </c>
      <c r="F443" s="85">
        <v>68.430000000000007</v>
      </c>
      <c r="G443" s="14">
        <f t="shared" si="91"/>
        <v>68.430000000000007</v>
      </c>
      <c r="H443" s="14">
        <f t="shared" si="91"/>
        <v>68.430000000000007</v>
      </c>
      <c r="I443" s="14">
        <f t="shared" si="91"/>
        <v>68.430000000000007</v>
      </c>
      <c r="J443" s="14">
        <f t="shared" si="92"/>
        <v>68.430000000000007</v>
      </c>
      <c r="K443" s="14">
        <f t="shared" si="92"/>
        <v>68.430000000000007</v>
      </c>
      <c r="L443" s="14">
        <f t="shared" si="92"/>
        <v>68.430000000000007</v>
      </c>
      <c r="M443" s="14">
        <f t="shared" si="92"/>
        <v>68.430000000000007</v>
      </c>
      <c r="N443" s="14">
        <f t="shared" si="92"/>
        <v>68.430000000000007</v>
      </c>
    </row>
    <row r="444" spans="2:14" s="2" customFormat="1" ht="12.95" hidden="1" customHeight="1">
      <c r="B444" s="27" t="s">
        <v>28</v>
      </c>
      <c r="C444" s="11">
        <f t="shared" si="87"/>
        <v>91.2</v>
      </c>
      <c r="E444" s="27" t="s">
        <v>28</v>
      </c>
      <c r="F444" s="85">
        <v>91.2</v>
      </c>
      <c r="G444" s="14">
        <f t="shared" si="91"/>
        <v>91.2</v>
      </c>
      <c r="H444" s="14">
        <f t="shared" si="91"/>
        <v>91.2</v>
      </c>
      <c r="I444" s="14">
        <f t="shared" si="91"/>
        <v>91.2</v>
      </c>
      <c r="J444" s="14">
        <f t="shared" si="92"/>
        <v>91.2</v>
      </c>
      <c r="K444" s="14">
        <f t="shared" si="92"/>
        <v>91.2</v>
      </c>
      <c r="L444" s="14">
        <f t="shared" si="92"/>
        <v>91.2</v>
      </c>
      <c r="M444" s="14">
        <f t="shared" si="92"/>
        <v>91.2</v>
      </c>
      <c r="N444" s="14">
        <f t="shared" si="92"/>
        <v>91.2</v>
      </c>
    </row>
    <row r="445" spans="2:14" s="2" customFormat="1" ht="12.95" hidden="1" customHeight="1">
      <c r="B445" s="27" t="s">
        <v>29</v>
      </c>
      <c r="C445" s="11">
        <f t="shared" si="87"/>
        <v>124.83</v>
      </c>
      <c r="E445" s="27" t="s">
        <v>29</v>
      </c>
      <c r="F445" s="85">
        <v>124.83</v>
      </c>
      <c r="G445" s="14">
        <f t="shared" si="91"/>
        <v>124.83</v>
      </c>
      <c r="H445" s="14">
        <f t="shared" si="91"/>
        <v>124.83</v>
      </c>
      <c r="I445" s="14">
        <f t="shared" si="91"/>
        <v>124.83</v>
      </c>
      <c r="J445" s="14">
        <f t="shared" si="92"/>
        <v>124.83</v>
      </c>
      <c r="K445" s="14">
        <f t="shared" si="92"/>
        <v>124.83</v>
      </c>
      <c r="L445" s="14">
        <f t="shared" si="92"/>
        <v>124.83</v>
      </c>
      <c r="M445" s="14">
        <f t="shared" si="92"/>
        <v>124.83</v>
      </c>
      <c r="N445" s="14">
        <f t="shared" si="92"/>
        <v>124.83</v>
      </c>
    </row>
    <row r="446" spans="2:14" s="2" customFormat="1" ht="12.95" hidden="1" customHeight="1">
      <c r="B446" s="27" t="s">
        <v>30</v>
      </c>
      <c r="C446" s="11">
        <f t="shared" si="87"/>
        <v>36.75</v>
      </c>
      <c r="E446" s="27" t="s">
        <v>30</v>
      </c>
      <c r="F446" s="85">
        <v>36.75</v>
      </c>
      <c r="G446" s="14">
        <f t="shared" si="91"/>
        <v>36.75</v>
      </c>
      <c r="H446" s="14">
        <f t="shared" si="91"/>
        <v>36.75</v>
      </c>
      <c r="I446" s="14">
        <f t="shared" si="91"/>
        <v>36.75</v>
      </c>
      <c r="J446" s="14">
        <f t="shared" si="92"/>
        <v>36.75</v>
      </c>
      <c r="K446" s="14">
        <f t="shared" si="92"/>
        <v>36.75</v>
      </c>
      <c r="L446" s="14">
        <f t="shared" si="92"/>
        <v>36.75</v>
      </c>
      <c r="M446" s="14">
        <f t="shared" si="92"/>
        <v>36.75</v>
      </c>
      <c r="N446" s="14">
        <f t="shared" si="92"/>
        <v>36.75</v>
      </c>
    </row>
    <row r="447" spans="2:14" s="2" customFormat="1" ht="12.95" hidden="1" customHeight="1">
      <c r="B447" s="27" t="s">
        <v>32</v>
      </c>
      <c r="C447" s="11">
        <f t="shared" si="87"/>
        <v>0</v>
      </c>
      <c r="E447" s="27" t="s">
        <v>32</v>
      </c>
      <c r="F447" s="14"/>
      <c r="G447" s="14">
        <f>+F447</f>
        <v>0</v>
      </c>
      <c r="H447" s="14">
        <f>+G447</f>
        <v>0</v>
      </c>
      <c r="I447" s="14">
        <v>37.5</v>
      </c>
      <c r="J447" s="14">
        <f t="shared" si="92"/>
        <v>37.5</v>
      </c>
      <c r="K447" s="14">
        <f t="shared" si="92"/>
        <v>37.5</v>
      </c>
      <c r="L447" s="14">
        <f t="shared" si="92"/>
        <v>37.5</v>
      </c>
      <c r="M447" s="14">
        <f t="shared" si="92"/>
        <v>37.5</v>
      </c>
      <c r="N447" s="14">
        <f t="shared" si="92"/>
        <v>37.5</v>
      </c>
    </row>
    <row r="448" spans="2:14" s="2" customFormat="1" ht="12.95" hidden="1" customHeight="1">
      <c r="B448" s="28" t="s">
        <v>6</v>
      </c>
      <c r="C448" s="11">
        <f t="shared" si="87"/>
        <v>0</v>
      </c>
      <c r="E448" s="28" t="s">
        <v>6</v>
      </c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2:14" s="2" customFormat="1" ht="12.95" hidden="1" customHeight="1">
      <c r="B449" s="28" t="s">
        <v>7</v>
      </c>
      <c r="C449" s="11">
        <f t="shared" si="87"/>
        <v>0</v>
      </c>
      <c r="E449" s="28" t="s">
        <v>7</v>
      </c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2:14" s="2" customFormat="1" ht="12.95" hidden="1" customHeight="1">
      <c r="B450" s="28" t="s">
        <v>8</v>
      </c>
      <c r="C450" s="11">
        <f t="shared" si="87"/>
        <v>0</v>
      </c>
      <c r="E450" s="28" t="s">
        <v>8</v>
      </c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2:14" s="2" customFormat="1" ht="12.95" hidden="1" customHeight="1">
      <c r="B451" s="29" t="s">
        <v>77</v>
      </c>
      <c r="C451" s="11">
        <f t="shared" si="87"/>
        <v>0</v>
      </c>
      <c r="E451" s="29" t="s">
        <v>77</v>
      </c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2:14" s="2" customFormat="1" ht="12.95" hidden="1" customHeight="1">
      <c r="B452" s="30" t="s">
        <v>81</v>
      </c>
      <c r="C452" s="11">
        <f t="shared" si="87"/>
        <v>0</v>
      </c>
      <c r="E452" s="30" t="s">
        <v>81</v>
      </c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2:14" s="2" customFormat="1" ht="12.95" hidden="1" customHeight="1">
      <c r="B453" s="30" t="s">
        <v>78</v>
      </c>
      <c r="C453" s="11">
        <f t="shared" si="87"/>
        <v>0</v>
      </c>
      <c r="E453" s="30" t="s">
        <v>78</v>
      </c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2:14" s="2" customFormat="1" ht="12.95" hidden="1" customHeight="1">
      <c r="B454" s="30" t="s">
        <v>82</v>
      </c>
      <c r="C454" s="11">
        <f t="shared" si="87"/>
        <v>0</v>
      </c>
      <c r="E454" s="30" t="s">
        <v>82</v>
      </c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2:14" s="2" customFormat="1" ht="12.95" hidden="1" customHeight="1">
      <c r="B455" s="31" t="s">
        <v>79</v>
      </c>
      <c r="C455" s="11">
        <f t="shared" si="87"/>
        <v>0</v>
      </c>
      <c r="E455" s="31" t="s">
        <v>79</v>
      </c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2:14" s="2" customFormat="1" ht="12.95" hidden="1" customHeight="1">
      <c r="B456" s="22" t="s">
        <v>9</v>
      </c>
      <c r="C456" s="11">
        <f t="shared" si="87"/>
        <v>-37.67</v>
      </c>
      <c r="E456" s="22" t="s">
        <v>9</v>
      </c>
      <c r="F456" s="20">
        <v>-37.67</v>
      </c>
      <c r="G456" s="20">
        <v>-37.67</v>
      </c>
      <c r="H456" s="20">
        <v>-37.67</v>
      </c>
      <c r="I456" s="20">
        <v>-47.86</v>
      </c>
      <c r="J456" s="20">
        <v>-47.86</v>
      </c>
      <c r="K456" s="20">
        <v>-47.86</v>
      </c>
      <c r="L456" s="20">
        <v>-47.86</v>
      </c>
      <c r="M456" s="20">
        <v>-47.86</v>
      </c>
      <c r="N456" s="20">
        <v>-47.86</v>
      </c>
    </row>
    <row r="457" spans="2:14" s="2" customFormat="1" ht="12.95" hidden="1" customHeight="1">
      <c r="B457" s="22" t="s">
        <v>16</v>
      </c>
      <c r="C457" s="11">
        <f t="shared" si="87"/>
        <v>-86.03</v>
      </c>
      <c r="E457" s="22" t="s">
        <v>16</v>
      </c>
      <c r="F457" s="20">
        <v>-86.03</v>
      </c>
      <c r="G457" s="20">
        <v>-86.03</v>
      </c>
      <c r="H457" s="20">
        <v>-86.03</v>
      </c>
      <c r="I457" s="20">
        <v>-109.31</v>
      </c>
      <c r="J457" s="20">
        <v>-109.31</v>
      </c>
      <c r="K457" s="20">
        <v>-109.31</v>
      </c>
      <c r="L457" s="20">
        <v>-109.31</v>
      </c>
      <c r="M457" s="20">
        <v>-109.31</v>
      </c>
      <c r="N457" s="20">
        <v>-109.31</v>
      </c>
    </row>
    <row r="458" spans="2:14" hidden="1">
      <c r="B458" s="1" t="s">
        <v>18</v>
      </c>
      <c r="C458" s="11">
        <f t="shared" si="87"/>
        <v>32819.550000000003</v>
      </c>
      <c r="E458" s="32" t="s">
        <v>18</v>
      </c>
      <c r="F458" s="82">
        <f>((+F434+F438+F439+F440)*12)+(F436*INT($C$3/3)*12)+((F435+F438)*2)+((F439+F440)*0.78*2)+(F437*INT($C$3/3)*2)+(IF($C$6="s",(F449+12)+(F450*INT($C$3/3)*12),F448*12))+(IF($C$4="s",F451,0))+(((IF(INT($C$3/3)&lt;6,F441,0))+(IF(AND(INT($C$3/6)&gt;0,INT($C$3/6)&lt;2),F442,0))+(IF(AND(INT($C$3/6)&gt;1,INT($C$3/6)&lt;3),F442+F443,0))+(IF(AND(INT($C$3/6)&gt;2,INT($C$3/6)&lt;4),F442+F443+F444,0))+(IF(AND(INT($C$3/6)&gt;3,INT($C$3/6)&lt;5),F442+F443+F444+F445,0))+(IF(INT($C$3/6)&gt;4,F442+F443+F444+F445+F446,0)))*12)+(IF($C$7="s",F447*12,0))++(((IF(INT($C$3/3)&lt;6,F441,0))+(IF(AND(INT($C$3/6)&gt;0,INT($C$3/6)&lt;2),F442,0))+(IF(AND(INT($C$3/6)&gt;1,INT($C$3/6)&lt;3),F442+F443,0))+(IF(AND(INT($C$3/6)&gt;2,INT($C$3/6)&lt;4),F442+F443+F444,0))+(IF(AND(INT($C$3/6)&gt;3,INT($C$3/6)&lt;5),F442+F443+F444+F445,0))+(IF(INT($C$3/6)&gt;4,F442+F443+F444+F445+F446,0)))*2*0.78)+(F452*12)+(F453*2)</f>
        <v>32819.550000000003</v>
      </c>
      <c r="G458" s="82">
        <f t="shared" ref="G458:N458" si="93">((+G434+G438+G439+G440)*12)+(G436*INT($C$3/3)*12)+((G435+G438)*2)+((G439+G440)*0.78*2)+(G437*INT($C$3/3)*2)+(IF($C$6="s",(G449+12)+(G450*INT($C$3/3)*12),G448*12))+(IF($C$4="s",G451,0))+(((IF(INT($C$3/3)&lt;6,G441,0))+(IF(AND(INT($C$3/6)&gt;0,INT($C$3/6)&lt;2),G442,0))+(IF(AND(INT($C$3/6)&gt;1,INT($C$3/6)&lt;3),G442+G443,0))+(IF(AND(INT($C$3/6)&gt;2,INT($C$3/6)&lt;4),G442+G443+G444,0))+(IF(AND(INT($C$3/6)&gt;3,INT($C$3/6)&lt;5),G442+G443+G444+G445,0))+(IF(INT($C$3/6)&gt;4,G442+G443+G444+G445+G446,0)))*12)+(IF($C$7="s",G447*12,0))++(((IF(INT($C$3/3)&lt;6,G441,0))+(IF(AND(INT($C$3/6)&gt;0,INT($C$3/6)&lt;2),G442,0))+(IF(AND(INT($C$3/6)&gt;1,INT($C$3/6)&lt;3),G442+G443,0))+(IF(AND(INT($C$3/6)&gt;2,INT($C$3/6)&lt;4),G442+G443+G444,0))+(IF(AND(INT($C$3/6)&gt;3,INT($C$3/6)&lt;5),G442+G443+G444+G445,0))+(IF(INT($C$3/6)&gt;4,G442+G443+G444+G445+G446,0)))*2*0.78)+(G452*12)+(G453*2)</f>
        <v>34353.530000000006</v>
      </c>
      <c r="H458" s="82">
        <f t="shared" si="93"/>
        <v>34353.530000000006</v>
      </c>
      <c r="I458" s="82">
        <f t="shared" si="93"/>
        <v>36703.810000000005</v>
      </c>
      <c r="J458" s="82">
        <f t="shared" si="93"/>
        <v>36703.810000000005</v>
      </c>
      <c r="K458" s="82">
        <f t="shared" si="93"/>
        <v>36703.810000000005</v>
      </c>
      <c r="L458" s="82">
        <f t="shared" si="93"/>
        <v>36703.810000000005</v>
      </c>
      <c r="M458" s="82">
        <f t="shared" si="93"/>
        <v>36703.810000000005</v>
      </c>
      <c r="N458" s="82">
        <f t="shared" si="93"/>
        <v>36703.810000000005</v>
      </c>
    </row>
    <row r="459" spans="2:14" hidden="1"/>
    <row r="460" spans="2:14" hidden="1"/>
    <row r="461" spans="2:14" hidden="1"/>
    <row r="462" spans="2:14" hidden="1"/>
    <row r="463" spans="2:14" hidden="1"/>
    <row r="464" spans="2:14" hidden="1"/>
    <row r="465" spans="2:14" s="2" customFormat="1" ht="12.95" hidden="1" customHeight="1">
      <c r="B465" s="3"/>
      <c r="C465" s="2" t="str">
        <f>+E466</f>
        <v>Murcia</v>
      </c>
    </row>
    <row r="466" spans="2:14" s="2" customFormat="1" ht="35.25" hidden="1" customHeight="1">
      <c r="C466" s="7" t="str">
        <f>+$C$11</f>
        <v>597-Maestros</v>
      </c>
      <c r="E466" s="15" t="s">
        <v>71</v>
      </c>
      <c r="F466" s="6" t="s">
        <v>60</v>
      </c>
      <c r="G466" s="6" t="s">
        <v>55</v>
      </c>
      <c r="H466" s="6" t="s">
        <v>59</v>
      </c>
      <c r="I466" s="6" t="s">
        <v>54</v>
      </c>
      <c r="J466" s="6" t="s">
        <v>56</v>
      </c>
      <c r="K466" s="6" t="s">
        <v>57</v>
      </c>
      <c r="L466" s="6" t="s">
        <v>58</v>
      </c>
      <c r="M466" s="6" t="s">
        <v>53</v>
      </c>
      <c r="N466" s="6" t="s">
        <v>52</v>
      </c>
    </row>
    <row r="467" spans="2:14" s="2" customFormat="1" ht="12.95" hidden="1" customHeight="1">
      <c r="B467" s="12" t="s">
        <v>1</v>
      </c>
      <c r="C467" s="11" t="str">
        <f t="shared" ref="C467:C493" si="94">IF($C$11=$F$11,F467,IF($C$11=G$11,G467,IF($C$11=H$11,H467,IF($C$11=I$11,I467,IF($C$11=J$11,J467,IF($C$11=K$11,K467,IF($C$11=L$11,L467,IF($C$11=M$11,M467,N467))))))))</f>
        <v>A2</v>
      </c>
      <c r="E467" s="5" t="s">
        <v>1</v>
      </c>
      <c r="F467" s="4" t="s">
        <v>61</v>
      </c>
      <c r="G467" s="4" t="s">
        <v>61</v>
      </c>
      <c r="H467" s="4" t="s">
        <v>61</v>
      </c>
      <c r="I467" s="4" t="s">
        <v>17</v>
      </c>
      <c r="J467" s="4" t="s">
        <v>17</v>
      </c>
      <c r="K467" s="4" t="s">
        <v>17</v>
      </c>
      <c r="L467" s="4" t="s">
        <v>17</v>
      </c>
      <c r="M467" s="4" t="s">
        <v>17</v>
      </c>
      <c r="N467" s="4" t="s">
        <v>17</v>
      </c>
    </row>
    <row r="468" spans="2:14" s="2" customFormat="1" ht="12.95" hidden="1" customHeight="1">
      <c r="B468" s="12" t="str">
        <f>+E468</f>
        <v>Nivel</v>
      </c>
      <c r="C468" s="11">
        <f t="shared" si="94"/>
        <v>21</v>
      </c>
      <c r="E468" s="5" t="s">
        <v>0</v>
      </c>
      <c r="F468" s="4">
        <v>21</v>
      </c>
      <c r="G468" s="4">
        <v>24</v>
      </c>
      <c r="H468" s="4">
        <v>24</v>
      </c>
      <c r="I468" s="4">
        <v>24</v>
      </c>
      <c r="J468" s="4">
        <v>24</v>
      </c>
      <c r="K468" s="4">
        <v>24</v>
      </c>
      <c r="L468" s="4">
        <v>24</v>
      </c>
      <c r="M468" s="4">
        <v>26</v>
      </c>
      <c r="N468" s="4">
        <v>26</v>
      </c>
    </row>
    <row r="469" spans="2:14" s="2" customFormat="1" ht="12.95" hidden="1" customHeight="1">
      <c r="B469" s="13" t="s">
        <v>2</v>
      </c>
      <c r="C469" s="11">
        <f t="shared" si="94"/>
        <v>958.98</v>
      </c>
      <c r="E469" s="13" t="s">
        <v>2</v>
      </c>
      <c r="F469" s="14">
        <v>958.98</v>
      </c>
      <c r="G469" s="14">
        <v>958.98</v>
      </c>
      <c r="H469" s="14">
        <v>958.98</v>
      </c>
      <c r="I469" s="14">
        <v>1109.0999999999999</v>
      </c>
      <c r="J469" s="14">
        <f t="shared" ref="J469:N475" si="95">+I469</f>
        <v>1109.0999999999999</v>
      </c>
      <c r="K469" s="14">
        <f t="shared" si="95"/>
        <v>1109.0999999999999</v>
      </c>
      <c r="L469" s="14">
        <f t="shared" si="95"/>
        <v>1109.0999999999999</v>
      </c>
      <c r="M469" s="14">
        <f t="shared" si="95"/>
        <v>1109.0999999999999</v>
      </c>
      <c r="N469" s="14">
        <f t="shared" si="95"/>
        <v>1109.0999999999999</v>
      </c>
    </row>
    <row r="470" spans="2:14" s="2" customFormat="1" ht="12.95" hidden="1" customHeight="1">
      <c r="B470" s="13" t="s">
        <v>64</v>
      </c>
      <c r="C470" s="11">
        <f t="shared" si="94"/>
        <v>699.38</v>
      </c>
      <c r="E470" s="13" t="s">
        <v>64</v>
      </c>
      <c r="F470" s="19">
        <v>699.38</v>
      </c>
      <c r="G470" s="19">
        <v>699.38</v>
      </c>
      <c r="H470" s="19">
        <v>699.38</v>
      </c>
      <c r="I470" s="19">
        <v>684.36</v>
      </c>
      <c r="J470" s="14">
        <f t="shared" si="95"/>
        <v>684.36</v>
      </c>
      <c r="K470" s="14">
        <f t="shared" si="95"/>
        <v>684.36</v>
      </c>
      <c r="L470" s="14">
        <f t="shared" si="95"/>
        <v>684.36</v>
      </c>
      <c r="M470" s="14">
        <f t="shared" si="95"/>
        <v>684.36</v>
      </c>
      <c r="N470" s="14">
        <f t="shared" si="95"/>
        <v>684.36</v>
      </c>
    </row>
    <row r="471" spans="2:14" s="2" customFormat="1" ht="12.95" hidden="1" customHeight="1">
      <c r="B471" s="13" t="s">
        <v>3</v>
      </c>
      <c r="C471" s="11">
        <f t="shared" si="94"/>
        <v>34.770000000000003</v>
      </c>
      <c r="E471" s="13" t="s">
        <v>3</v>
      </c>
      <c r="F471" s="14">
        <v>34.770000000000003</v>
      </c>
      <c r="G471" s="14">
        <v>34.770000000000003</v>
      </c>
      <c r="H471" s="14">
        <v>34.770000000000003</v>
      </c>
      <c r="I471" s="14">
        <v>42.65</v>
      </c>
      <c r="J471" s="14">
        <f t="shared" si="95"/>
        <v>42.65</v>
      </c>
      <c r="K471" s="14">
        <f t="shared" si="95"/>
        <v>42.65</v>
      </c>
      <c r="L471" s="14">
        <f t="shared" si="95"/>
        <v>42.65</v>
      </c>
      <c r="M471" s="14">
        <f t="shared" si="95"/>
        <v>42.65</v>
      </c>
      <c r="N471" s="14">
        <f t="shared" si="95"/>
        <v>42.65</v>
      </c>
    </row>
    <row r="472" spans="2:14" s="2" customFormat="1" ht="12.95" hidden="1" customHeight="1">
      <c r="B472" s="13" t="s">
        <v>65</v>
      </c>
      <c r="C472" s="11">
        <f t="shared" si="94"/>
        <v>25.35</v>
      </c>
      <c r="E472" s="13" t="s">
        <v>65</v>
      </c>
      <c r="F472" s="19">
        <v>25.35</v>
      </c>
      <c r="G472" s="19">
        <v>25.35</v>
      </c>
      <c r="H472" s="19">
        <v>25.35</v>
      </c>
      <c r="I472" s="19">
        <v>26.31</v>
      </c>
      <c r="J472" s="14">
        <f t="shared" si="95"/>
        <v>26.31</v>
      </c>
      <c r="K472" s="14">
        <f t="shared" si="95"/>
        <v>26.31</v>
      </c>
      <c r="L472" s="14">
        <f t="shared" si="95"/>
        <v>26.31</v>
      </c>
      <c r="M472" s="14">
        <f t="shared" si="95"/>
        <v>26.31</v>
      </c>
      <c r="N472" s="14">
        <f t="shared" si="95"/>
        <v>26.31</v>
      </c>
    </row>
    <row r="473" spans="2:14" s="2" customFormat="1" ht="12.95" hidden="1" customHeight="1">
      <c r="B473" s="13" t="s">
        <v>4</v>
      </c>
      <c r="C473" s="11">
        <f t="shared" si="94"/>
        <v>473.35</v>
      </c>
      <c r="E473" s="13" t="s">
        <v>4</v>
      </c>
      <c r="F473" s="14">
        <v>473.35</v>
      </c>
      <c r="G473" s="14">
        <v>582.91999999999996</v>
      </c>
      <c r="H473" s="14">
        <v>582.91999999999996</v>
      </c>
      <c r="I473" s="14">
        <v>582.91999999999996</v>
      </c>
      <c r="J473" s="14">
        <f t="shared" si="95"/>
        <v>582.91999999999996</v>
      </c>
      <c r="K473" s="14">
        <f t="shared" si="95"/>
        <v>582.91999999999996</v>
      </c>
      <c r="L473" s="14">
        <f t="shared" si="95"/>
        <v>582.91999999999996</v>
      </c>
      <c r="M473" s="14">
        <f t="shared" si="95"/>
        <v>582.91999999999996</v>
      </c>
      <c r="N473" s="14">
        <f t="shared" si="95"/>
        <v>582.91999999999996</v>
      </c>
    </row>
    <row r="474" spans="2:14" s="2" customFormat="1" ht="12.95" hidden="1" customHeight="1">
      <c r="B474" s="13" t="s">
        <v>5</v>
      </c>
      <c r="C474" s="11">
        <f t="shared" si="94"/>
        <v>295.13</v>
      </c>
      <c r="E474" s="13" t="s">
        <v>5</v>
      </c>
      <c r="F474" s="14">
        <v>295.13</v>
      </c>
      <c r="G474" s="14">
        <v>295.13</v>
      </c>
      <c r="H474" s="14">
        <f>+G474</f>
        <v>295.13</v>
      </c>
      <c r="I474" s="14">
        <f t="shared" ref="I474" si="96">+H474</f>
        <v>295.13</v>
      </c>
      <c r="J474" s="14">
        <f t="shared" si="95"/>
        <v>295.13</v>
      </c>
      <c r="K474" s="14">
        <f t="shared" si="95"/>
        <v>295.13</v>
      </c>
      <c r="L474" s="14">
        <f t="shared" si="95"/>
        <v>295.13</v>
      </c>
      <c r="M474" s="14">
        <v>342.62</v>
      </c>
      <c r="N474" s="14">
        <v>370.71</v>
      </c>
    </row>
    <row r="475" spans="2:14" s="2" customFormat="1" ht="12.95" hidden="1" customHeight="1">
      <c r="B475" s="27" t="s">
        <v>66</v>
      </c>
      <c r="C475" s="11">
        <f t="shared" si="94"/>
        <v>350.08</v>
      </c>
      <c r="E475" s="27" t="s">
        <v>66</v>
      </c>
      <c r="F475" s="14">
        <v>350.08</v>
      </c>
      <c r="G475" s="14">
        <v>355.22</v>
      </c>
      <c r="H475" s="14">
        <f>+G475</f>
        <v>355.22</v>
      </c>
      <c r="I475" s="14">
        <f t="shared" ref="I475" si="97">+H475</f>
        <v>355.22</v>
      </c>
      <c r="J475" s="14">
        <f t="shared" si="95"/>
        <v>355.22</v>
      </c>
      <c r="K475" s="14">
        <f t="shared" si="95"/>
        <v>355.22</v>
      </c>
      <c r="L475" s="14">
        <f t="shared" si="95"/>
        <v>355.22</v>
      </c>
      <c r="M475" s="14">
        <v>357.88</v>
      </c>
      <c r="N475" s="14">
        <v>315.36</v>
      </c>
    </row>
    <row r="476" spans="2:14" s="2" customFormat="1" ht="12.95" hidden="1" customHeight="1">
      <c r="B476" s="27" t="s">
        <v>80</v>
      </c>
      <c r="C476" s="11">
        <f t="shared" si="94"/>
        <v>0</v>
      </c>
      <c r="E476" s="27" t="s">
        <v>80</v>
      </c>
      <c r="F476" s="14"/>
      <c r="G476" s="14"/>
      <c r="H476" s="14"/>
      <c r="I476" s="14"/>
      <c r="J476" s="14">
        <f>+I476</f>
        <v>0</v>
      </c>
      <c r="K476" s="14">
        <f>+J476</f>
        <v>0</v>
      </c>
      <c r="L476" s="14">
        <f>+K476</f>
        <v>0</v>
      </c>
      <c r="M476" s="14">
        <f>+L476</f>
        <v>0</v>
      </c>
      <c r="N476" s="14">
        <f>+M476</f>
        <v>0</v>
      </c>
    </row>
    <row r="477" spans="2:14" s="2" customFormat="1" ht="12.95" hidden="1" customHeight="1">
      <c r="B477" s="27" t="s">
        <v>26</v>
      </c>
      <c r="C477" s="11">
        <f t="shared" si="94"/>
        <v>56.3</v>
      </c>
      <c r="E477" s="27" t="s">
        <v>26</v>
      </c>
      <c r="F477" s="85">
        <v>56.3</v>
      </c>
      <c r="G477" s="14">
        <f t="shared" ref="G477:I482" si="98">+F477</f>
        <v>56.3</v>
      </c>
      <c r="H477" s="14">
        <f t="shared" si="98"/>
        <v>56.3</v>
      </c>
      <c r="I477" s="14">
        <f t="shared" si="98"/>
        <v>56.3</v>
      </c>
      <c r="J477" s="14">
        <f t="shared" ref="J477:N482" si="99">+I477</f>
        <v>56.3</v>
      </c>
      <c r="K477" s="14">
        <f t="shared" si="99"/>
        <v>56.3</v>
      </c>
      <c r="L477" s="14">
        <f t="shared" si="99"/>
        <v>56.3</v>
      </c>
      <c r="M477" s="14">
        <f t="shared" si="99"/>
        <v>56.3</v>
      </c>
      <c r="N477" s="14">
        <f t="shared" si="99"/>
        <v>56.3</v>
      </c>
    </row>
    <row r="478" spans="2:14" s="2" customFormat="1" ht="12.95" hidden="1" customHeight="1">
      <c r="B478" s="27" t="s">
        <v>27</v>
      </c>
      <c r="C478" s="11">
        <f t="shared" si="94"/>
        <v>71.03</v>
      </c>
      <c r="E478" s="27" t="s">
        <v>27</v>
      </c>
      <c r="F478" s="85">
        <v>71.03</v>
      </c>
      <c r="G478" s="14">
        <f t="shared" si="98"/>
        <v>71.03</v>
      </c>
      <c r="H478" s="14">
        <f t="shared" si="98"/>
        <v>71.03</v>
      </c>
      <c r="I478" s="14">
        <f t="shared" si="98"/>
        <v>71.03</v>
      </c>
      <c r="J478" s="14">
        <f t="shared" si="99"/>
        <v>71.03</v>
      </c>
      <c r="K478" s="14">
        <f t="shared" si="99"/>
        <v>71.03</v>
      </c>
      <c r="L478" s="14">
        <f t="shared" si="99"/>
        <v>71.03</v>
      </c>
      <c r="M478" s="14">
        <f t="shared" si="99"/>
        <v>71.03</v>
      </c>
      <c r="N478" s="14">
        <f t="shared" si="99"/>
        <v>71.03</v>
      </c>
    </row>
    <row r="479" spans="2:14" s="2" customFormat="1" ht="12.95" hidden="1" customHeight="1">
      <c r="B479" s="27" t="s">
        <v>28</v>
      </c>
      <c r="C479" s="11">
        <f t="shared" si="94"/>
        <v>94.66</v>
      </c>
      <c r="E479" s="27" t="s">
        <v>28</v>
      </c>
      <c r="F479" s="85">
        <v>94.66</v>
      </c>
      <c r="G479" s="14">
        <f t="shared" si="98"/>
        <v>94.66</v>
      </c>
      <c r="H479" s="14">
        <f t="shared" si="98"/>
        <v>94.66</v>
      </c>
      <c r="I479" s="14">
        <f t="shared" si="98"/>
        <v>94.66</v>
      </c>
      <c r="J479" s="14">
        <f t="shared" si="99"/>
        <v>94.66</v>
      </c>
      <c r="K479" s="14">
        <f t="shared" si="99"/>
        <v>94.66</v>
      </c>
      <c r="L479" s="14">
        <f t="shared" si="99"/>
        <v>94.66</v>
      </c>
      <c r="M479" s="14">
        <f t="shared" si="99"/>
        <v>94.66</v>
      </c>
      <c r="N479" s="14">
        <f t="shared" si="99"/>
        <v>94.66</v>
      </c>
    </row>
    <row r="480" spans="2:14" s="2" customFormat="1" ht="12.95" hidden="1" customHeight="1">
      <c r="B480" s="27" t="s">
        <v>29</v>
      </c>
      <c r="C480" s="11">
        <f t="shared" si="94"/>
        <v>129.54</v>
      </c>
      <c r="E480" s="27" t="s">
        <v>29</v>
      </c>
      <c r="F480" s="85">
        <v>129.54</v>
      </c>
      <c r="G480" s="14">
        <f t="shared" si="98"/>
        <v>129.54</v>
      </c>
      <c r="H480" s="14">
        <f t="shared" si="98"/>
        <v>129.54</v>
      </c>
      <c r="I480" s="14">
        <f t="shared" si="98"/>
        <v>129.54</v>
      </c>
      <c r="J480" s="14">
        <f t="shared" si="99"/>
        <v>129.54</v>
      </c>
      <c r="K480" s="14">
        <f t="shared" si="99"/>
        <v>129.54</v>
      </c>
      <c r="L480" s="14">
        <f t="shared" si="99"/>
        <v>129.54</v>
      </c>
      <c r="M480" s="14">
        <f t="shared" si="99"/>
        <v>129.54</v>
      </c>
      <c r="N480" s="14">
        <f t="shared" si="99"/>
        <v>129.54</v>
      </c>
    </row>
    <row r="481" spans="2:14" s="2" customFormat="1" ht="12.95" hidden="1" customHeight="1">
      <c r="B481" s="27" t="s">
        <v>30</v>
      </c>
      <c r="C481" s="11">
        <f t="shared" si="94"/>
        <v>38.14</v>
      </c>
      <c r="E481" s="27" t="s">
        <v>30</v>
      </c>
      <c r="F481" s="85">
        <v>38.14</v>
      </c>
      <c r="G481" s="14">
        <f t="shared" si="98"/>
        <v>38.14</v>
      </c>
      <c r="H481" s="14">
        <f t="shared" si="98"/>
        <v>38.14</v>
      </c>
      <c r="I481" s="14">
        <f t="shared" si="98"/>
        <v>38.14</v>
      </c>
      <c r="J481" s="14">
        <f t="shared" si="99"/>
        <v>38.14</v>
      </c>
      <c r="K481" s="14">
        <f t="shared" si="99"/>
        <v>38.14</v>
      </c>
      <c r="L481" s="14">
        <f t="shared" si="99"/>
        <v>38.14</v>
      </c>
      <c r="M481" s="14">
        <f t="shared" si="99"/>
        <v>38.14</v>
      </c>
      <c r="N481" s="14">
        <f t="shared" si="99"/>
        <v>38.14</v>
      </c>
    </row>
    <row r="482" spans="2:14" s="2" customFormat="1" ht="12.95" hidden="1" customHeight="1">
      <c r="B482" s="27" t="s">
        <v>32</v>
      </c>
      <c r="C482" s="11">
        <f t="shared" si="94"/>
        <v>51.29</v>
      </c>
      <c r="E482" s="27" t="s">
        <v>32</v>
      </c>
      <c r="F482" s="14">
        <v>51.29</v>
      </c>
      <c r="G482" s="14">
        <f t="shared" si="98"/>
        <v>51.29</v>
      </c>
      <c r="H482" s="14">
        <f t="shared" si="98"/>
        <v>51.29</v>
      </c>
      <c r="I482" s="14">
        <f t="shared" si="98"/>
        <v>51.29</v>
      </c>
      <c r="J482" s="14">
        <f t="shared" si="99"/>
        <v>51.29</v>
      </c>
      <c r="K482" s="14">
        <f t="shared" si="99"/>
        <v>51.29</v>
      </c>
      <c r="L482" s="14">
        <f t="shared" si="99"/>
        <v>51.29</v>
      </c>
      <c r="M482" s="14">
        <f t="shared" si="99"/>
        <v>51.29</v>
      </c>
      <c r="N482" s="14">
        <f t="shared" si="99"/>
        <v>51.29</v>
      </c>
    </row>
    <row r="483" spans="2:14" s="2" customFormat="1" ht="12.95" hidden="1" customHeight="1">
      <c r="B483" s="28" t="s">
        <v>6</v>
      </c>
      <c r="C483" s="11">
        <f t="shared" si="94"/>
        <v>0</v>
      </c>
      <c r="E483" s="28" t="s">
        <v>6</v>
      </c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2:14" s="2" customFormat="1" ht="12.95" hidden="1" customHeight="1">
      <c r="B484" s="28" t="s">
        <v>7</v>
      </c>
      <c r="C484" s="11">
        <f t="shared" si="94"/>
        <v>0</v>
      </c>
      <c r="E484" s="28" t="s">
        <v>7</v>
      </c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2:14" s="2" customFormat="1" ht="12.95" hidden="1" customHeight="1">
      <c r="B485" s="28" t="s">
        <v>8</v>
      </c>
      <c r="C485" s="11">
        <f t="shared" si="94"/>
        <v>0</v>
      </c>
      <c r="E485" s="28" t="s">
        <v>8</v>
      </c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2:14" s="2" customFormat="1" ht="12.95" hidden="1" customHeight="1">
      <c r="B486" s="29" t="s">
        <v>77</v>
      </c>
      <c r="C486" s="11">
        <f t="shared" si="94"/>
        <v>0</v>
      </c>
      <c r="E486" s="29" t="s">
        <v>77</v>
      </c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2:14" s="2" customFormat="1" ht="12.95" hidden="1" customHeight="1">
      <c r="B487" s="30" t="s">
        <v>81</v>
      </c>
      <c r="C487" s="11">
        <f t="shared" si="94"/>
        <v>0</v>
      </c>
      <c r="E487" s="30" t="s">
        <v>81</v>
      </c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2:14" s="2" customFormat="1" ht="12.95" hidden="1" customHeight="1">
      <c r="B488" s="30" t="s">
        <v>78</v>
      </c>
      <c r="C488" s="11">
        <f t="shared" si="94"/>
        <v>418.96</v>
      </c>
      <c r="E488" s="30" t="s">
        <v>78</v>
      </c>
      <c r="F488" s="14">
        <v>418.96</v>
      </c>
      <c r="G488" s="14">
        <f>+F488</f>
        <v>418.96</v>
      </c>
      <c r="H488" s="14">
        <f>+G488</f>
        <v>418.96</v>
      </c>
      <c r="I488" s="14">
        <v>418.96</v>
      </c>
      <c r="J488" s="14">
        <f>+I488</f>
        <v>418.96</v>
      </c>
      <c r="K488" s="14">
        <f>+J488</f>
        <v>418.96</v>
      </c>
      <c r="L488" s="14">
        <f>+K488</f>
        <v>418.96</v>
      </c>
      <c r="M488" s="14">
        <v>469.07</v>
      </c>
      <c r="N488" s="14">
        <v>497.16</v>
      </c>
    </row>
    <row r="489" spans="2:14" s="2" customFormat="1" ht="12.95" hidden="1" customHeight="1">
      <c r="B489" s="30" t="s">
        <v>82</v>
      </c>
      <c r="C489" s="11">
        <f t="shared" si="94"/>
        <v>0</v>
      </c>
      <c r="E489" s="30" t="s">
        <v>82</v>
      </c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2:14" s="2" customFormat="1" ht="12.95" hidden="1" customHeight="1">
      <c r="B490" s="31" t="s">
        <v>79</v>
      </c>
      <c r="C490" s="11">
        <f t="shared" si="94"/>
        <v>0</v>
      </c>
      <c r="E490" s="31" t="s">
        <v>79</v>
      </c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2:14" s="2" customFormat="1" ht="12.95" hidden="1" customHeight="1">
      <c r="B491" s="22" t="s">
        <v>9</v>
      </c>
      <c r="C491" s="11">
        <f t="shared" si="94"/>
        <v>-37.67</v>
      </c>
      <c r="E491" s="22" t="s">
        <v>9</v>
      </c>
      <c r="F491" s="20">
        <v>-37.67</v>
      </c>
      <c r="G491" s="20">
        <v>-37.67</v>
      </c>
      <c r="H491" s="20">
        <v>-37.67</v>
      </c>
      <c r="I491" s="20">
        <v>-47.86</v>
      </c>
      <c r="J491" s="20">
        <v>-47.86</v>
      </c>
      <c r="K491" s="20">
        <v>-47.86</v>
      </c>
      <c r="L491" s="20">
        <v>-47.86</v>
      </c>
      <c r="M491" s="20">
        <v>-47.86</v>
      </c>
      <c r="N491" s="20">
        <v>-47.86</v>
      </c>
    </row>
    <row r="492" spans="2:14" s="2" customFormat="1" ht="12.95" hidden="1" customHeight="1">
      <c r="B492" s="22" t="s">
        <v>16</v>
      </c>
      <c r="C492" s="11">
        <f t="shared" si="94"/>
        <v>-86.03</v>
      </c>
      <c r="E492" s="22" t="s">
        <v>16</v>
      </c>
      <c r="F492" s="20">
        <v>-86.03</v>
      </c>
      <c r="G492" s="20">
        <v>-86.03</v>
      </c>
      <c r="H492" s="20">
        <v>-86.03</v>
      </c>
      <c r="I492" s="20">
        <v>-109.31</v>
      </c>
      <c r="J492" s="20">
        <v>-109.31</v>
      </c>
      <c r="K492" s="20">
        <v>-109.31</v>
      </c>
      <c r="L492" s="20">
        <v>-109.31</v>
      </c>
      <c r="M492" s="20">
        <v>-109.31</v>
      </c>
      <c r="N492" s="20">
        <v>-109.31</v>
      </c>
    </row>
    <row r="493" spans="2:14" hidden="1">
      <c r="B493" s="1" t="s">
        <v>18</v>
      </c>
      <c r="C493" s="11">
        <f t="shared" si="94"/>
        <v>34938.212</v>
      </c>
      <c r="E493" s="32" t="s">
        <v>18</v>
      </c>
      <c r="F493" s="82">
        <f>((+F469+F473+F474+F475)*12)+(F471*INT($C$3/3)*12)+((F470+F473)*2)+((F474+F475)*0.78*2)+(F472*INT($C$3/3)*2)+(IF($C$6="s",(F484+12)+(F485*INT($C$3/3)*12),F483*12))+(IF($C$4="s",F486,0))+(((IF(INT($C$3/3)&lt;6,F476,0))+(IF(AND(INT($C$3/6)&gt;0,INT($C$3/6)&lt;2),F477,0))+(IF(AND(INT($C$3/6)&gt;1,INT($C$3/6)&lt;3),F477+F478,0))+(IF(AND(INT($C$3/6)&gt;2,INT($C$3/6)&lt;4),F477+F478+F479,0))+(IF(AND(INT($C$3/6)&gt;3,INT($C$3/6)&lt;5),F477+F478+F479+F480,0))+(IF(INT($C$3/6)&gt;4,F477+F478+F479+F480+F481,0)))*12)+(IF($C$7="s",F482*12,0))++(((IF(INT($C$3/3)&lt;6,F476,0))+(IF(AND(INT($C$3/6)&gt;0,INT($C$3/6)&lt;2),F477,0))+(IF(AND(INT($C$3/6)&gt;1,INT($C$3/6)&lt;3),F477+F478,0))+(IF(AND(INT($C$3/6)&gt;2,INT($C$3/6)&lt;4),F477+F478+F479,0))+(IF(AND(INT($C$3/6)&gt;3,INT($C$3/6)&lt;5),F477+F478+F479+F480,0))+(IF(INT($C$3/6)&gt;4,F477+F478+F479+F480+F481,0)))*2*0.78)+(F487*12)+(F488*2)</f>
        <v>34938.212</v>
      </c>
      <c r="G493" s="82">
        <f t="shared" ref="G493:N493" si="100">((+G469+G473+G474+G475)*12)+(G471*INT($C$3/3)*12)+((G470+G473)*2)+((G474+G475)*0.78*2)+(G472*INT($C$3/3)*2)+(IF($C$6="s",(G484+12)+(G485*INT($C$3/3)*12),G483*12))+(IF($C$4="s",G486,0))+(((IF(INT($C$3/3)&lt;6,G476,0))+(IF(AND(INT($C$3/6)&gt;0,INT($C$3/6)&lt;2),G477,0))+(IF(AND(INT($C$3/6)&gt;1,INT($C$3/6)&lt;3),G477+G478,0))+(IF(AND(INT($C$3/6)&gt;2,INT($C$3/6)&lt;4),G477+G478+G479,0))+(IF(AND(INT($C$3/6)&gt;3,INT($C$3/6)&lt;5),G477+G478+G479+G480,0))+(IF(INT($C$3/6)&gt;4,G477+G478+G479+G480+G481,0)))*12)+(IF($C$7="s",G482*12,0))++(((IF(INT($C$3/3)&lt;6,G476,0))+(IF(AND(INT($C$3/6)&gt;0,INT($C$3/6)&lt;2),G477,0))+(IF(AND(INT($C$3/6)&gt;1,INT($C$3/6)&lt;3),G477+G478,0))+(IF(AND(INT($C$3/6)&gt;2,INT($C$3/6)&lt;4),G477+G478+G479,0))+(IF(AND(INT($C$3/6)&gt;3,INT($C$3/6)&lt;5),G477+G478+G479+G480,0))+(IF(INT($C$3/6)&gt;4,G477+G478+G479+G480+G481,0)))*2*0.78)+(G487*12)+(G488*2)</f>
        <v>36541.890399999997</v>
      </c>
      <c r="H493" s="82">
        <f t="shared" si="100"/>
        <v>36541.890399999997</v>
      </c>
      <c r="I493" s="82">
        <f t="shared" si="100"/>
        <v>38892.170399999995</v>
      </c>
      <c r="J493" s="82">
        <f t="shared" si="100"/>
        <v>38892.170399999995</v>
      </c>
      <c r="K493" s="82">
        <f t="shared" si="100"/>
        <v>38892.170399999995</v>
      </c>
      <c r="L493" s="82">
        <f t="shared" si="100"/>
        <v>38892.170399999995</v>
      </c>
      <c r="M493" s="82">
        <f t="shared" si="100"/>
        <v>39672.424399999996</v>
      </c>
      <c r="N493" s="82">
        <f t="shared" si="100"/>
        <v>39532.933600000004</v>
      </c>
    </row>
    <row r="494" spans="2:14" hidden="1"/>
    <row r="495" spans="2:14" hidden="1"/>
    <row r="496" spans="2:14" hidden="1"/>
    <row r="497" spans="2:14" hidden="1"/>
    <row r="498" spans="2:14" hidden="1"/>
    <row r="499" spans="2:14" hidden="1"/>
    <row r="500" spans="2:14" s="2" customFormat="1" ht="12.95" hidden="1" customHeight="1">
      <c r="B500" s="3"/>
      <c r="C500" s="2" t="str">
        <f>+E501</f>
        <v>Valencia</v>
      </c>
    </row>
    <row r="501" spans="2:14" s="2" customFormat="1" ht="35.25" hidden="1" customHeight="1">
      <c r="C501" s="7" t="str">
        <f>+$C$11</f>
        <v>597-Maestros</v>
      </c>
      <c r="E501" s="15" t="s">
        <v>72</v>
      </c>
      <c r="F501" s="6" t="s">
        <v>60</v>
      </c>
      <c r="G501" s="6" t="s">
        <v>55</v>
      </c>
      <c r="H501" s="6" t="s">
        <v>59</v>
      </c>
      <c r="I501" s="6" t="s">
        <v>54</v>
      </c>
      <c r="J501" s="6" t="s">
        <v>56</v>
      </c>
      <c r="K501" s="6" t="s">
        <v>57</v>
      </c>
      <c r="L501" s="6" t="s">
        <v>58</v>
      </c>
      <c r="M501" s="6" t="s">
        <v>53</v>
      </c>
      <c r="N501" s="6" t="s">
        <v>52</v>
      </c>
    </row>
    <row r="502" spans="2:14" s="2" customFormat="1" ht="12.95" hidden="1" customHeight="1">
      <c r="B502" s="12" t="s">
        <v>1</v>
      </c>
      <c r="C502" s="11" t="str">
        <f t="shared" ref="C502:C528" si="101">IF($C$11=$F$11,F502,IF($C$11=G$11,G502,IF($C$11=H$11,H502,IF($C$11=I$11,I502,IF($C$11=J$11,J502,IF($C$11=K$11,K502,IF($C$11=L$11,L502,IF($C$11=M$11,M502,N502))))))))</f>
        <v>A2</v>
      </c>
      <c r="E502" s="5" t="s">
        <v>1</v>
      </c>
      <c r="F502" s="4" t="s">
        <v>61</v>
      </c>
      <c r="G502" s="4" t="s">
        <v>61</v>
      </c>
      <c r="H502" s="4" t="s">
        <v>61</v>
      </c>
      <c r="I502" s="4" t="s">
        <v>17</v>
      </c>
      <c r="J502" s="4" t="s">
        <v>17</v>
      </c>
      <c r="K502" s="4" t="s">
        <v>17</v>
      </c>
      <c r="L502" s="4" t="s">
        <v>17</v>
      </c>
      <c r="M502" s="4" t="s">
        <v>17</v>
      </c>
      <c r="N502" s="4" t="s">
        <v>17</v>
      </c>
    </row>
    <row r="503" spans="2:14" s="2" customFormat="1" ht="12.95" hidden="1" customHeight="1">
      <c r="B503" s="12" t="str">
        <f>+E503</f>
        <v>Nivel</v>
      </c>
      <c r="C503" s="11">
        <f t="shared" si="101"/>
        <v>21</v>
      </c>
      <c r="E503" s="5" t="s">
        <v>0</v>
      </c>
      <c r="F503" s="4">
        <v>21</v>
      </c>
      <c r="G503" s="4">
        <v>24</v>
      </c>
      <c r="H503" s="4">
        <v>24</v>
      </c>
      <c r="I503" s="4">
        <v>24</v>
      </c>
      <c r="J503" s="4">
        <v>24</v>
      </c>
      <c r="K503" s="4">
        <v>24</v>
      </c>
      <c r="L503" s="4">
        <v>24</v>
      </c>
      <c r="M503" s="4">
        <v>26</v>
      </c>
      <c r="N503" s="4">
        <v>26</v>
      </c>
    </row>
    <row r="504" spans="2:14" s="2" customFormat="1" ht="12.95" hidden="1" customHeight="1">
      <c r="B504" s="13" t="s">
        <v>2</v>
      </c>
      <c r="C504" s="11">
        <f t="shared" si="101"/>
        <v>958.98</v>
      </c>
      <c r="E504" s="13" t="s">
        <v>2</v>
      </c>
      <c r="F504" s="14">
        <v>958.98</v>
      </c>
      <c r="G504" s="14">
        <v>958.98</v>
      </c>
      <c r="H504" s="14">
        <v>958.98</v>
      </c>
      <c r="I504" s="14">
        <v>1109.0999999999999</v>
      </c>
      <c r="J504" s="14">
        <f t="shared" ref="J504:N509" si="102">+I504</f>
        <v>1109.0999999999999</v>
      </c>
      <c r="K504" s="14">
        <f t="shared" si="102"/>
        <v>1109.0999999999999</v>
      </c>
      <c r="L504" s="14">
        <f t="shared" si="102"/>
        <v>1109.0999999999999</v>
      </c>
      <c r="M504" s="14">
        <f t="shared" si="102"/>
        <v>1109.0999999999999</v>
      </c>
      <c r="N504" s="14">
        <f t="shared" si="102"/>
        <v>1109.0999999999999</v>
      </c>
    </row>
    <row r="505" spans="2:14" s="2" customFormat="1" ht="12.95" hidden="1" customHeight="1">
      <c r="B505" s="13" t="s">
        <v>64</v>
      </c>
      <c r="C505" s="11">
        <f t="shared" si="101"/>
        <v>699.38</v>
      </c>
      <c r="E505" s="13" t="s">
        <v>64</v>
      </c>
      <c r="F505" s="19">
        <v>699.38</v>
      </c>
      <c r="G505" s="19">
        <v>699.38</v>
      </c>
      <c r="H505" s="19">
        <v>699.38</v>
      </c>
      <c r="I505" s="19">
        <v>684.36</v>
      </c>
      <c r="J505" s="14">
        <f t="shared" si="102"/>
        <v>684.36</v>
      </c>
      <c r="K505" s="14">
        <f t="shared" si="102"/>
        <v>684.36</v>
      </c>
      <c r="L505" s="14">
        <f t="shared" si="102"/>
        <v>684.36</v>
      </c>
      <c r="M505" s="14">
        <f t="shared" si="102"/>
        <v>684.36</v>
      </c>
      <c r="N505" s="14">
        <f t="shared" si="102"/>
        <v>684.36</v>
      </c>
    </row>
    <row r="506" spans="2:14" s="2" customFormat="1" ht="12.95" hidden="1" customHeight="1">
      <c r="B506" s="13" t="s">
        <v>3</v>
      </c>
      <c r="C506" s="11">
        <f t="shared" si="101"/>
        <v>34.770000000000003</v>
      </c>
      <c r="E506" s="13" t="s">
        <v>3</v>
      </c>
      <c r="F506" s="14">
        <v>34.770000000000003</v>
      </c>
      <c r="G506" s="14">
        <v>34.770000000000003</v>
      </c>
      <c r="H506" s="14">
        <v>34.770000000000003</v>
      </c>
      <c r="I506" s="14">
        <v>42.65</v>
      </c>
      <c r="J506" s="14">
        <f t="shared" si="102"/>
        <v>42.65</v>
      </c>
      <c r="K506" s="14">
        <f t="shared" si="102"/>
        <v>42.65</v>
      </c>
      <c r="L506" s="14">
        <f t="shared" si="102"/>
        <v>42.65</v>
      </c>
      <c r="M506" s="14">
        <f t="shared" si="102"/>
        <v>42.65</v>
      </c>
      <c r="N506" s="14">
        <f t="shared" si="102"/>
        <v>42.65</v>
      </c>
    </row>
    <row r="507" spans="2:14" s="2" customFormat="1" ht="12.95" hidden="1" customHeight="1">
      <c r="B507" s="13" t="s">
        <v>65</v>
      </c>
      <c r="C507" s="11">
        <f t="shared" si="101"/>
        <v>25.35</v>
      </c>
      <c r="E507" s="13" t="s">
        <v>65</v>
      </c>
      <c r="F507" s="19">
        <v>25.35</v>
      </c>
      <c r="G507" s="19">
        <v>25.35</v>
      </c>
      <c r="H507" s="19">
        <v>25.35</v>
      </c>
      <c r="I507" s="19">
        <v>26.31</v>
      </c>
      <c r="J507" s="14">
        <f t="shared" si="102"/>
        <v>26.31</v>
      </c>
      <c r="K507" s="14">
        <f t="shared" si="102"/>
        <v>26.31</v>
      </c>
      <c r="L507" s="14">
        <f t="shared" si="102"/>
        <v>26.31</v>
      </c>
      <c r="M507" s="14">
        <f t="shared" si="102"/>
        <v>26.31</v>
      </c>
      <c r="N507" s="14">
        <f t="shared" si="102"/>
        <v>26.31</v>
      </c>
    </row>
    <row r="508" spans="2:14" s="2" customFormat="1" ht="12.95" hidden="1" customHeight="1">
      <c r="B508" s="13" t="s">
        <v>4</v>
      </c>
      <c r="C508" s="11">
        <f t="shared" si="101"/>
        <v>473.35</v>
      </c>
      <c r="E508" s="13" t="s">
        <v>4</v>
      </c>
      <c r="F508" s="14">
        <v>473.35</v>
      </c>
      <c r="G508" s="14">
        <v>582.91999999999996</v>
      </c>
      <c r="H508" s="14">
        <v>582.91999999999996</v>
      </c>
      <c r="I508" s="14">
        <v>582.91999999999996</v>
      </c>
      <c r="J508" s="14">
        <f t="shared" si="102"/>
        <v>582.91999999999996</v>
      </c>
      <c r="K508" s="14">
        <f t="shared" si="102"/>
        <v>582.91999999999996</v>
      </c>
      <c r="L508" s="14">
        <f t="shared" si="102"/>
        <v>582.91999999999996</v>
      </c>
      <c r="M508" s="14">
        <f t="shared" si="102"/>
        <v>582.91999999999996</v>
      </c>
      <c r="N508" s="14">
        <f t="shared" si="102"/>
        <v>582.91999999999996</v>
      </c>
    </row>
    <row r="509" spans="2:14" s="2" customFormat="1" ht="12.95" hidden="1" customHeight="1">
      <c r="B509" s="13" t="s">
        <v>5</v>
      </c>
      <c r="C509" s="11">
        <f t="shared" si="101"/>
        <v>589.49</v>
      </c>
      <c r="E509" s="13" t="s">
        <v>5</v>
      </c>
      <c r="F509" s="14">
        <v>589.49</v>
      </c>
      <c r="G509" s="14">
        <v>590.79999999999995</v>
      </c>
      <c r="H509" s="14">
        <v>590.79999999999995</v>
      </c>
      <c r="I509" s="14">
        <v>593.16999999999996</v>
      </c>
      <c r="J509" s="14">
        <f t="shared" si="102"/>
        <v>593.16999999999996</v>
      </c>
      <c r="K509" s="14">
        <f t="shared" si="102"/>
        <v>593.16999999999996</v>
      </c>
      <c r="L509" s="14">
        <f t="shared" si="102"/>
        <v>593.16999999999996</v>
      </c>
      <c r="M509" s="14">
        <f t="shared" si="102"/>
        <v>593.16999999999996</v>
      </c>
      <c r="N509" s="14">
        <f t="shared" si="102"/>
        <v>593.16999999999996</v>
      </c>
    </row>
    <row r="510" spans="2:14" s="2" customFormat="1" ht="12.95" hidden="1" customHeight="1">
      <c r="B510" s="27" t="s">
        <v>66</v>
      </c>
      <c r="C510" s="11">
        <f t="shared" si="101"/>
        <v>0</v>
      </c>
      <c r="E510" s="27" t="s">
        <v>66</v>
      </c>
      <c r="F510" s="21"/>
      <c r="G510" s="14"/>
      <c r="H510" s="14"/>
      <c r="I510" s="14"/>
      <c r="J510" s="14"/>
      <c r="K510" s="14"/>
      <c r="L510" s="14"/>
      <c r="M510" s="14"/>
      <c r="N510" s="14"/>
    </row>
    <row r="511" spans="2:14" s="2" customFormat="1" ht="12.95" hidden="1" customHeight="1">
      <c r="B511" s="27" t="s">
        <v>80</v>
      </c>
      <c r="C511" s="11">
        <f t="shared" si="101"/>
        <v>0</v>
      </c>
      <c r="E511" s="27" t="s">
        <v>80</v>
      </c>
      <c r="F511" s="14"/>
      <c r="G511" s="14"/>
      <c r="H511" s="14"/>
      <c r="I511" s="14"/>
      <c r="J511" s="14">
        <f>+I511</f>
        <v>0</v>
      </c>
      <c r="K511" s="14">
        <f t="shared" ref="K511:N517" si="103">+J511</f>
        <v>0</v>
      </c>
      <c r="L511" s="14">
        <f t="shared" si="103"/>
        <v>0</v>
      </c>
      <c r="M511" s="14">
        <f t="shared" si="103"/>
        <v>0</v>
      </c>
      <c r="N511" s="14">
        <f t="shared" si="103"/>
        <v>0</v>
      </c>
    </row>
    <row r="512" spans="2:14" s="2" customFormat="1" ht="12.95" hidden="1" customHeight="1">
      <c r="B512" s="27" t="s">
        <v>26</v>
      </c>
      <c r="C512" s="11">
        <f t="shared" si="101"/>
        <v>76.97</v>
      </c>
      <c r="E512" s="27" t="s">
        <v>26</v>
      </c>
      <c r="F512" s="85">
        <v>76.97</v>
      </c>
      <c r="G512" s="14">
        <f t="shared" ref="G512:I517" si="104">+F512</f>
        <v>76.97</v>
      </c>
      <c r="H512" s="14">
        <f t="shared" si="104"/>
        <v>76.97</v>
      </c>
      <c r="I512" s="14">
        <f t="shared" si="104"/>
        <v>76.97</v>
      </c>
      <c r="J512" s="14">
        <f t="shared" ref="J512:J517" si="105">+I512</f>
        <v>76.97</v>
      </c>
      <c r="K512" s="14">
        <f t="shared" si="103"/>
        <v>76.97</v>
      </c>
      <c r="L512" s="14">
        <f t="shared" si="103"/>
        <v>76.97</v>
      </c>
      <c r="M512" s="14">
        <f t="shared" si="103"/>
        <v>76.97</v>
      </c>
      <c r="N512" s="14">
        <f t="shared" si="103"/>
        <v>76.97</v>
      </c>
    </row>
    <row r="513" spans="2:14" s="2" customFormat="1" ht="12.95" hidden="1" customHeight="1">
      <c r="B513" s="27" t="s">
        <v>27</v>
      </c>
      <c r="C513" s="11">
        <f t="shared" si="101"/>
        <v>81</v>
      </c>
      <c r="E513" s="27" t="s">
        <v>27</v>
      </c>
      <c r="F513" s="85">
        <v>81</v>
      </c>
      <c r="G513" s="14">
        <f t="shared" si="104"/>
        <v>81</v>
      </c>
      <c r="H513" s="14">
        <f t="shared" si="104"/>
        <v>81</v>
      </c>
      <c r="I513" s="14">
        <f t="shared" si="104"/>
        <v>81</v>
      </c>
      <c r="J513" s="14">
        <f t="shared" si="105"/>
        <v>81</v>
      </c>
      <c r="K513" s="14">
        <f t="shared" si="103"/>
        <v>81</v>
      </c>
      <c r="L513" s="14">
        <f t="shared" si="103"/>
        <v>81</v>
      </c>
      <c r="M513" s="14">
        <f t="shared" si="103"/>
        <v>81</v>
      </c>
      <c r="N513" s="14">
        <f t="shared" si="103"/>
        <v>81</v>
      </c>
    </row>
    <row r="514" spans="2:14" s="2" customFormat="1" ht="12.95" hidden="1" customHeight="1">
      <c r="B514" s="27" t="s">
        <v>28</v>
      </c>
      <c r="C514" s="11">
        <f t="shared" si="101"/>
        <v>93.24</v>
      </c>
      <c r="E514" s="27" t="s">
        <v>28</v>
      </c>
      <c r="F514" s="85">
        <v>93.24</v>
      </c>
      <c r="G514" s="14">
        <f t="shared" si="104"/>
        <v>93.24</v>
      </c>
      <c r="H514" s="14">
        <f t="shared" si="104"/>
        <v>93.24</v>
      </c>
      <c r="I514" s="14">
        <f t="shared" si="104"/>
        <v>93.24</v>
      </c>
      <c r="J514" s="14">
        <f t="shared" si="105"/>
        <v>93.24</v>
      </c>
      <c r="K514" s="14">
        <f t="shared" si="103"/>
        <v>93.24</v>
      </c>
      <c r="L514" s="14">
        <f t="shared" si="103"/>
        <v>93.24</v>
      </c>
      <c r="M514" s="14">
        <f t="shared" si="103"/>
        <v>93.24</v>
      </c>
      <c r="N514" s="14">
        <f t="shared" si="103"/>
        <v>93.24</v>
      </c>
    </row>
    <row r="515" spans="2:14" s="2" customFormat="1" ht="12.95" hidden="1" customHeight="1">
      <c r="B515" s="27" t="s">
        <v>29</v>
      </c>
      <c r="C515" s="11">
        <f t="shared" si="101"/>
        <v>101.49</v>
      </c>
      <c r="E515" s="27" t="s">
        <v>29</v>
      </c>
      <c r="F515" s="85">
        <v>101.49</v>
      </c>
      <c r="G515" s="14">
        <f t="shared" si="104"/>
        <v>101.49</v>
      </c>
      <c r="H515" s="14">
        <f t="shared" si="104"/>
        <v>101.49</v>
      </c>
      <c r="I515" s="14">
        <f t="shared" si="104"/>
        <v>101.49</v>
      </c>
      <c r="J515" s="14">
        <f t="shared" si="105"/>
        <v>101.49</v>
      </c>
      <c r="K515" s="14">
        <f t="shared" si="103"/>
        <v>101.49</v>
      </c>
      <c r="L515" s="14">
        <f t="shared" si="103"/>
        <v>101.49</v>
      </c>
      <c r="M515" s="14">
        <f t="shared" si="103"/>
        <v>101.49</v>
      </c>
      <c r="N515" s="14">
        <f t="shared" si="103"/>
        <v>101.49</v>
      </c>
    </row>
    <row r="516" spans="2:14" s="2" customFormat="1" ht="12.95" hidden="1" customHeight="1">
      <c r="B516" s="27" t="s">
        <v>30</v>
      </c>
      <c r="C516" s="11">
        <f t="shared" si="101"/>
        <v>59</v>
      </c>
      <c r="E516" s="27" t="s">
        <v>30</v>
      </c>
      <c r="F516" s="85">
        <v>59</v>
      </c>
      <c r="G516" s="14">
        <f t="shared" si="104"/>
        <v>59</v>
      </c>
      <c r="H516" s="14">
        <f t="shared" si="104"/>
        <v>59</v>
      </c>
      <c r="I516" s="14">
        <f t="shared" si="104"/>
        <v>59</v>
      </c>
      <c r="J516" s="14">
        <f t="shared" si="105"/>
        <v>59</v>
      </c>
      <c r="K516" s="14">
        <f t="shared" si="103"/>
        <v>59</v>
      </c>
      <c r="L516" s="14">
        <f t="shared" si="103"/>
        <v>59</v>
      </c>
      <c r="M516" s="14">
        <f t="shared" si="103"/>
        <v>59</v>
      </c>
      <c r="N516" s="14">
        <f t="shared" si="103"/>
        <v>59</v>
      </c>
    </row>
    <row r="517" spans="2:14" s="2" customFormat="1" ht="12.95" hidden="1" customHeight="1">
      <c r="B517" s="27" t="s">
        <v>32</v>
      </c>
      <c r="C517" s="11">
        <f t="shared" si="101"/>
        <v>51.29</v>
      </c>
      <c r="E517" s="27" t="s">
        <v>32</v>
      </c>
      <c r="F517" s="14">
        <v>51.29</v>
      </c>
      <c r="G517" s="14">
        <f t="shared" si="104"/>
        <v>51.29</v>
      </c>
      <c r="H517" s="14">
        <f t="shared" si="104"/>
        <v>51.29</v>
      </c>
      <c r="I517" s="14">
        <f t="shared" si="104"/>
        <v>51.29</v>
      </c>
      <c r="J517" s="14">
        <f t="shared" si="105"/>
        <v>51.29</v>
      </c>
      <c r="K517" s="14">
        <f t="shared" si="103"/>
        <v>51.29</v>
      </c>
      <c r="L517" s="14">
        <f t="shared" si="103"/>
        <v>51.29</v>
      </c>
      <c r="M517" s="14">
        <f t="shared" si="103"/>
        <v>51.29</v>
      </c>
      <c r="N517" s="14">
        <f t="shared" si="103"/>
        <v>51.29</v>
      </c>
    </row>
    <row r="518" spans="2:14" s="2" customFormat="1" ht="12.95" hidden="1" customHeight="1">
      <c r="B518" s="28" t="s">
        <v>6</v>
      </c>
      <c r="C518" s="11">
        <f t="shared" si="101"/>
        <v>0</v>
      </c>
      <c r="E518" s="28" t="s">
        <v>6</v>
      </c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2:14" s="2" customFormat="1" ht="12.95" hidden="1" customHeight="1">
      <c r="B519" s="28" t="s">
        <v>7</v>
      </c>
      <c r="C519" s="11">
        <f t="shared" si="101"/>
        <v>0</v>
      </c>
      <c r="E519" s="28" t="s">
        <v>7</v>
      </c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2:14" s="2" customFormat="1" ht="12.95" hidden="1" customHeight="1">
      <c r="B520" s="28" t="s">
        <v>8</v>
      </c>
      <c r="C520" s="11">
        <f t="shared" si="101"/>
        <v>0</v>
      </c>
      <c r="E520" s="28" t="s">
        <v>8</v>
      </c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2:14" s="2" customFormat="1" ht="12.95" hidden="1" customHeight="1">
      <c r="B521" s="29" t="s">
        <v>77</v>
      </c>
      <c r="C521" s="11">
        <f t="shared" si="101"/>
        <v>0</v>
      </c>
      <c r="E521" s="29" t="s">
        <v>77</v>
      </c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2:14" s="2" customFormat="1" ht="12.95" hidden="1" customHeight="1">
      <c r="B522" s="30" t="s">
        <v>81</v>
      </c>
      <c r="C522" s="11">
        <f t="shared" si="101"/>
        <v>0</v>
      </c>
      <c r="E522" s="30" t="s">
        <v>81</v>
      </c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2:14" s="2" customFormat="1" ht="12.95" hidden="1" customHeight="1">
      <c r="B523" s="30" t="s">
        <v>78</v>
      </c>
      <c r="C523" s="11">
        <f t="shared" si="101"/>
        <v>0</v>
      </c>
      <c r="E523" s="30" t="s">
        <v>78</v>
      </c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2:14" s="2" customFormat="1" ht="12.95" hidden="1" customHeight="1">
      <c r="B524" s="30" t="s">
        <v>82</v>
      </c>
      <c r="C524" s="11">
        <f t="shared" si="101"/>
        <v>0</v>
      </c>
      <c r="E524" s="30" t="s">
        <v>82</v>
      </c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2:14" s="2" customFormat="1" ht="12.95" hidden="1" customHeight="1">
      <c r="B525" s="31" t="s">
        <v>79</v>
      </c>
      <c r="C525" s="11">
        <f t="shared" si="101"/>
        <v>0</v>
      </c>
      <c r="E525" s="31" t="s">
        <v>79</v>
      </c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2:14" s="2" customFormat="1" ht="12.95" hidden="1" customHeight="1">
      <c r="B526" s="22" t="s">
        <v>9</v>
      </c>
      <c r="C526" s="11">
        <f t="shared" si="101"/>
        <v>-37.67</v>
      </c>
      <c r="E526" s="22" t="s">
        <v>9</v>
      </c>
      <c r="F526" s="20">
        <v>-37.67</v>
      </c>
      <c r="G526" s="20">
        <v>-37.67</v>
      </c>
      <c r="H526" s="20">
        <v>-37.67</v>
      </c>
      <c r="I526" s="20">
        <v>-47.86</v>
      </c>
      <c r="J526" s="20">
        <v>-47.86</v>
      </c>
      <c r="K526" s="20">
        <v>-47.86</v>
      </c>
      <c r="L526" s="20">
        <v>-47.86</v>
      </c>
      <c r="M526" s="20">
        <v>-47.86</v>
      </c>
      <c r="N526" s="20">
        <v>-47.86</v>
      </c>
    </row>
    <row r="527" spans="2:14" s="2" customFormat="1" ht="12.95" hidden="1" customHeight="1">
      <c r="B527" s="22" t="s">
        <v>16</v>
      </c>
      <c r="C527" s="11">
        <f t="shared" si="101"/>
        <v>-86.03</v>
      </c>
      <c r="E527" s="22" t="s">
        <v>16</v>
      </c>
      <c r="F527" s="20">
        <v>-86.03</v>
      </c>
      <c r="G527" s="20">
        <v>-86.03</v>
      </c>
      <c r="H527" s="20">
        <v>-86.03</v>
      </c>
      <c r="I527" s="20">
        <v>-109.31</v>
      </c>
      <c r="J527" s="20">
        <v>-109.31</v>
      </c>
      <c r="K527" s="20">
        <v>-109.31</v>
      </c>
      <c r="L527" s="20">
        <v>-109.31</v>
      </c>
      <c r="M527" s="20">
        <v>-109.31</v>
      </c>
      <c r="N527" s="20">
        <v>-109.31</v>
      </c>
    </row>
    <row r="528" spans="2:14" hidden="1">
      <c r="B528" s="1" t="s">
        <v>18</v>
      </c>
      <c r="C528" s="11">
        <f t="shared" si="101"/>
        <v>33740.951999999997</v>
      </c>
      <c r="E528" s="32" t="s">
        <v>18</v>
      </c>
      <c r="F528" s="82">
        <f>((+F504+F508+F509+F510)*12)+(F506*INT($C$3/3)*12)+((F505+F508)*2)+((F509+F510)*0.78*2)+(F507*INT($C$3/3)*2)+(IF($C$6="s",(F519+12)+(F520*INT($C$3/3)*12),F518*12))+(IF($C$4="s",F521,0))+(((IF(INT($C$3/3)&lt;6,F511,0))+(IF(AND(INT($C$3/6)&gt;0,INT($C$3/6)&lt;2),F512,0))+(IF(AND(INT($C$3/6)&gt;1,INT($C$3/6)&lt;3),F512+F513,0))+(IF(AND(INT($C$3/6)&gt;2,INT($C$3/6)&lt;4),F512+F513+F514,0))+(IF(AND(INT($C$3/6)&gt;3,INT($C$3/6)&lt;5),F512+F513+F514+F515,0))+(IF(INT($C$3/6)&gt;4,F512+F513+F514+F515+F516,0)))*12)+(IF($C$7="s",F517*12,0))++(((IF(INT($C$3/3)&lt;6,F511,0))+(IF(AND(INT($C$3/6)&gt;0,INT($C$3/6)&lt;2),F512,0))+(IF(AND(INT($C$3/6)&gt;1,INT($C$3/6)&lt;3),F512+F513,0))+(IF(AND(INT($C$3/6)&gt;2,INT($C$3/6)&lt;4),F512+F513+F514,0))+(IF(AND(INT($C$3/6)&gt;3,INT($C$3/6)&lt;5),F512+F513+F514+F515,0))+(IF(INT($C$3/6)&gt;4,F512+F513+F514+F515+F516,0)))*2*0.78)+(F522*12)+(F523*2)</f>
        <v>33740.951999999997</v>
      </c>
      <c r="G528" s="82">
        <f t="shared" ref="G528:N528" si="106">((+G504+G508+G509+G510)*12)+(G506*INT($C$3/3)*12)+((G505+G508)*2)+((G509+G510)*0.78*2)+(G507*INT($C$3/3)*2)+(IF($C$6="s",(G519+12)+(G520*INT($C$3/3)*12),G518*12))+(IF($C$4="s",G521,0))+(((IF(INT($C$3/3)&lt;6,G511,0))+(IF(AND(INT($C$3/6)&gt;0,INT($C$3/6)&lt;2),G512,0))+(IF(AND(INT($C$3/6)&gt;1,INT($C$3/6)&lt;3),G512+G513,0))+(IF(AND(INT($C$3/6)&gt;2,INT($C$3/6)&lt;4),G512+G513+G514,0))+(IF(AND(INT($C$3/6)&gt;3,INT($C$3/6)&lt;5),G512+G513+G514+G515,0))+(IF(INT($C$3/6)&gt;4,G512+G513+G514+G515+G516,0)))*12)+(IF($C$7="s",G517*12,0))++(((IF(INT($C$3/3)&lt;6,G511,0))+(IF(AND(INT($C$3/6)&gt;0,INT($C$3/6)&lt;2),G512,0))+(IF(AND(INT($C$3/6)&gt;1,INT($C$3/6)&lt;3),G512+G513,0))+(IF(AND(INT($C$3/6)&gt;2,INT($C$3/6)&lt;4),G512+G513+G514,0))+(IF(AND(INT($C$3/6)&gt;3,INT($C$3/6)&lt;5),G512+G513+G514+G515,0))+(IF(INT($C$3/6)&gt;4,G512+G513+G514+G515+G516,0)))*2*0.78)+(G522*12)+(G523*2)</f>
        <v>35292.695599999999</v>
      </c>
      <c r="H528" s="82">
        <f t="shared" si="106"/>
        <v>35292.695599999999</v>
      </c>
      <c r="I528" s="82">
        <f t="shared" si="106"/>
        <v>37675.112800000003</v>
      </c>
      <c r="J528" s="82">
        <f t="shared" si="106"/>
        <v>37675.112800000003</v>
      </c>
      <c r="K528" s="82">
        <f t="shared" si="106"/>
        <v>37675.112800000003</v>
      </c>
      <c r="L528" s="82">
        <f t="shared" si="106"/>
        <v>37675.112800000003</v>
      </c>
      <c r="M528" s="82">
        <f t="shared" si="106"/>
        <v>37675.112800000003</v>
      </c>
      <c r="N528" s="82">
        <f t="shared" si="106"/>
        <v>37675.112800000003</v>
      </c>
    </row>
    <row r="529" spans="2:14" hidden="1"/>
    <row r="530" spans="2:14" hidden="1"/>
    <row r="531" spans="2:14" hidden="1"/>
    <row r="532" spans="2:14" hidden="1"/>
    <row r="533" spans="2:14" hidden="1"/>
    <row r="534" spans="2:14" hidden="1"/>
    <row r="535" spans="2:14" s="2" customFormat="1" ht="12.95" hidden="1" customHeight="1">
      <c r="B535" s="3"/>
      <c r="C535" s="2" t="str">
        <f>+E536</f>
        <v>Ceuta y Melilla</v>
      </c>
    </row>
    <row r="536" spans="2:14" s="2" customFormat="1" ht="35.25" hidden="1" customHeight="1">
      <c r="C536" s="7" t="str">
        <f>+$C$11</f>
        <v>597-Maestros</v>
      </c>
      <c r="E536" s="15" t="s">
        <v>73</v>
      </c>
      <c r="F536" s="6" t="s">
        <v>60</v>
      </c>
      <c r="G536" s="6" t="s">
        <v>55</v>
      </c>
      <c r="H536" s="6" t="s">
        <v>59</v>
      </c>
      <c r="I536" s="6" t="s">
        <v>54</v>
      </c>
      <c r="J536" s="6" t="s">
        <v>56</v>
      </c>
      <c r="K536" s="6" t="s">
        <v>57</v>
      </c>
      <c r="L536" s="6" t="s">
        <v>58</v>
      </c>
      <c r="M536" s="6" t="s">
        <v>53</v>
      </c>
      <c r="N536" s="6" t="s">
        <v>52</v>
      </c>
    </row>
    <row r="537" spans="2:14" s="2" customFormat="1" ht="12.95" hidden="1" customHeight="1">
      <c r="B537" s="12" t="s">
        <v>1</v>
      </c>
      <c r="C537" s="11" t="str">
        <f t="shared" ref="C537:C563" si="107">IF($C$11=$F$11,F537,IF($C$11=G$11,G537,IF($C$11=H$11,H537,IF($C$11=I$11,I537,IF($C$11=J$11,J537,IF($C$11=K$11,K537,IF($C$11=L$11,L537,IF($C$11=M$11,M537,N537))))))))</f>
        <v>A2</v>
      </c>
      <c r="E537" s="5" t="s">
        <v>1</v>
      </c>
      <c r="F537" s="4" t="s">
        <v>61</v>
      </c>
      <c r="G537" s="4" t="s">
        <v>61</v>
      </c>
      <c r="H537" s="4" t="s">
        <v>61</v>
      </c>
      <c r="I537" s="4" t="s">
        <v>17</v>
      </c>
      <c r="J537" s="4" t="s">
        <v>17</v>
      </c>
      <c r="K537" s="4" t="s">
        <v>17</v>
      </c>
      <c r="L537" s="4" t="s">
        <v>17</v>
      </c>
      <c r="M537" s="4" t="s">
        <v>17</v>
      </c>
      <c r="N537" s="4" t="s">
        <v>17</v>
      </c>
    </row>
    <row r="538" spans="2:14" s="2" customFormat="1" ht="12.95" hidden="1" customHeight="1">
      <c r="B538" s="12" t="str">
        <f>+E538</f>
        <v>Nivel</v>
      </c>
      <c r="C538" s="11">
        <f t="shared" si="107"/>
        <v>21</v>
      </c>
      <c r="E538" s="5" t="s">
        <v>0</v>
      </c>
      <c r="F538" s="4">
        <v>21</v>
      </c>
      <c r="G538" s="4">
        <v>24</v>
      </c>
      <c r="H538" s="4">
        <v>24</v>
      </c>
      <c r="I538" s="4">
        <v>24</v>
      </c>
      <c r="J538" s="4">
        <v>24</v>
      </c>
      <c r="K538" s="4">
        <v>24</v>
      </c>
      <c r="L538" s="4">
        <v>24</v>
      </c>
      <c r="M538" s="4">
        <v>26</v>
      </c>
      <c r="N538" s="4">
        <v>26</v>
      </c>
    </row>
    <row r="539" spans="2:14" s="2" customFormat="1" ht="12.95" hidden="1" customHeight="1">
      <c r="B539" s="13" t="s">
        <v>2</v>
      </c>
      <c r="C539" s="11">
        <f t="shared" si="107"/>
        <v>958.98</v>
      </c>
      <c r="E539" s="13" t="s">
        <v>2</v>
      </c>
      <c r="F539" s="14">
        <v>958.98</v>
      </c>
      <c r="G539" s="14">
        <v>958.98</v>
      </c>
      <c r="H539" s="14">
        <v>958.98</v>
      </c>
      <c r="I539" s="14">
        <v>1109.0999999999999</v>
      </c>
      <c r="J539" s="14">
        <f t="shared" ref="J539:N543" si="108">+I539</f>
        <v>1109.0999999999999</v>
      </c>
      <c r="K539" s="14">
        <f t="shared" si="108"/>
        <v>1109.0999999999999</v>
      </c>
      <c r="L539" s="14">
        <f t="shared" si="108"/>
        <v>1109.0999999999999</v>
      </c>
      <c r="M539" s="14">
        <f t="shared" si="108"/>
        <v>1109.0999999999999</v>
      </c>
      <c r="N539" s="14">
        <f t="shared" si="108"/>
        <v>1109.0999999999999</v>
      </c>
    </row>
    <row r="540" spans="2:14" s="2" customFormat="1" ht="12.95" hidden="1" customHeight="1">
      <c r="B540" s="13" t="s">
        <v>64</v>
      </c>
      <c r="C540" s="11">
        <f t="shared" si="107"/>
        <v>699.38</v>
      </c>
      <c r="E540" s="13" t="s">
        <v>64</v>
      </c>
      <c r="F540" s="19">
        <v>699.38</v>
      </c>
      <c r="G540" s="19">
        <v>699.38</v>
      </c>
      <c r="H540" s="19">
        <v>699.38</v>
      </c>
      <c r="I540" s="19">
        <v>684.36</v>
      </c>
      <c r="J540" s="14">
        <f t="shared" si="108"/>
        <v>684.36</v>
      </c>
      <c r="K540" s="14">
        <f t="shared" si="108"/>
        <v>684.36</v>
      </c>
      <c r="L540" s="14">
        <f t="shared" si="108"/>
        <v>684.36</v>
      </c>
      <c r="M540" s="14">
        <f t="shared" si="108"/>
        <v>684.36</v>
      </c>
      <c r="N540" s="14">
        <f t="shared" si="108"/>
        <v>684.36</v>
      </c>
    </row>
    <row r="541" spans="2:14" s="2" customFormat="1" ht="12.95" hidden="1" customHeight="1">
      <c r="B541" s="13" t="s">
        <v>3</v>
      </c>
      <c r="C541" s="11">
        <f t="shared" si="107"/>
        <v>34.770000000000003</v>
      </c>
      <c r="E541" s="13" t="s">
        <v>3</v>
      </c>
      <c r="F541" s="14">
        <v>34.770000000000003</v>
      </c>
      <c r="G541" s="14">
        <v>34.770000000000003</v>
      </c>
      <c r="H541" s="14">
        <v>34.770000000000003</v>
      </c>
      <c r="I541" s="14">
        <v>42.65</v>
      </c>
      <c r="J541" s="14">
        <f t="shared" si="108"/>
        <v>42.65</v>
      </c>
      <c r="K541" s="14">
        <f t="shared" si="108"/>
        <v>42.65</v>
      </c>
      <c r="L541" s="14">
        <f t="shared" si="108"/>
        <v>42.65</v>
      </c>
      <c r="M541" s="14">
        <f t="shared" si="108"/>
        <v>42.65</v>
      </c>
      <c r="N541" s="14">
        <f t="shared" si="108"/>
        <v>42.65</v>
      </c>
    </row>
    <row r="542" spans="2:14" s="2" customFormat="1" ht="12.95" hidden="1" customHeight="1">
      <c r="B542" s="13" t="s">
        <v>65</v>
      </c>
      <c r="C542" s="11">
        <f t="shared" si="107"/>
        <v>25.35</v>
      </c>
      <c r="E542" s="13" t="s">
        <v>65</v>
      </c>
      <c r="F542" s="19">
        <v>25.35</v>
      </c>
      <c r="G542" s="19">
        <v>25.35</v>
      </c>
      <c r="H542" s="19">
        <v>25.35</v>
      </c>
      <c r="I542" s="19">
        <v>26.31</v>
      </c>
      <c r="J542" s="14">
        <f t="shared" si="108"/>
        <v>26.31</v>
      </c>
      <c r="K542" s="14">
        <f t="shared" si="108"/>
        <v>26.31</v>
      </c>
      <c r="L542" s="14">
        <f t="shared" si="108"/>
        <v>26.31</v>
      </c>
      <c r="M542" s="14">
        <f t="shared" si="108"/>
        <v>26.31</v>
      </c>
      <c r="N542" s="14">
        <f t="shared" si="108"/>
        <v>26.31</v>
      </c>
    </row>
    <row r="543" spans="2:14" s="2" customFormat="1" ht="12.95" hidden="1" customHeight="1">
      <c r="B543" s="13" t="s">
        <v>4</v>
      </c>
      <c r="C543" s="11">
        <f t="shared" si="107"/>
        <v>473.35</v>
      </c>
      <c r="E543" s="13" t="s">
        <v>4</v>
      </c>
      <c r="F543" s="14">
        <v>473.35</v>
      </c>
      <c r="G543" s="14">
        <v>582.91999999999996</v>
      </c>
      <c r="H543" s="14">
        <v>582.91999999999996</v>
      </c>
      <c r="I543" s="14">
        <v>582.91999999999996</v>
      </c>
      <c r="J543" s="14">
        <f t="shared" si="108"/>
        <v>582.91999999999996</v>
      </c>
      <c r="K543" s="14">
        <f t="shared" si="108"/>
        <v>582.91999999999996</v>
      </c>
      <c r="L543" s="14">
        <f t="shared" si="108"/>
        <v>582.91999999999996</v>
      </c>
      <c r="M543" s="14">
        <f t="shared" si="108"/>
        <v>582.91999999999996</v>
      </c>
      <c r="N543" s="14">
        <f t="shared" si="108"/>
        <v>582.91999999999996</v>
      </c>
    </row>
    <row r="544" spans="2:14" s="2" customFormat="1" ht="12.95" hidden="1" customHeight="1">
      <c r="B544" s="13" t="s">
        <v>5</v>
      </c>
      <c r="C544" s="11">
        <f t="shared" si="107"/>
        <v>373.12</v>
      </c>
      <c r="E544" s="13" t="s">
        <v>5</v>
      </c>
      <c r="F544" s="14">
        <v>373.12</v>
      </c>
      <c r="G544" s="14">
        <v>373.12</v>
      </c>
      <c r="H544" s="14">
        <v>373.12</v>
      </c>
      <c r="I544" s="14">
        <v>370.48</v>
      </c>
      <c r="J544" s="14">
        <f t="shared" ref="J544:N545" si="109">+I544</f>
        <v>370.48</v>
      </c>
      <c r="K544" s="14">
        <f t="shared" si="109"/>
        <v>370.48</v>
      </c>
      <c r="L544" s="14">
        <f t="shared" si="109"/>
        <v>370.48</v>
      </c>
      <c r="M544" s="14">
        <f t="shared" si="109"/>
        <v>370.48</v>
      </c>
      <c r="N544" s="14">
        <f t="shared" si="109"/>
        <v>370.48</v>
      </c>
    </row>
    <row r="545" spans="2:14" s="2" customFormat="1" ht="12.95" hidden="1" customHeight="1">
      <c r="B545" s="27" t="s">
        <v>66</v>
      </c>
      <c r="C545" s="11">
        <f t="shared" si="107"/>
        <v>656.16</v>
      </c>
      <c r="E545" s="27" t="s">
        <v>66</v>
      </c>
      <c r="F545" s="14">
        <v>656.16</v>
      </c>
      <c r="G545" s="14">
        <v>656.16</v>
      </c>
      <c r="H545" s="14">
        <v>656.16</v>
      </c>
      <c r="I545" s="14">
        <v>881.48</v>
      </c>
      <c r="J545" s="14">
        <f>+I545</f>
        <v>881.48</v>
      </c>
      <c r="K545" s="14">
        <f t="shared" si="109"/>
        <v>881.48</v>
      </c>
      <c r="L545" s="14">
        <f t="shared" si="109"/>
        <v>881.48</v>
      </c>
      <c r="M545" s="14">
        <f t="shared" si="109"/>
        <v>881.48</v>
      </c>
      <c r="N545" s="14">
        <f t="shared" si="109"/>
        <v>881.48</v>
      </c>
    </row>
    <row r="546" spans="2:14" s="2" customFormat="1" ht="12.95" hidden="1" customHeight="1">
      <c r="B546" s="27" t="s">
        <v>80</v>
      </c>
      <c r="C546" s="11">
        <f t="shared" si="107"/>
        <v>0</v>
      </c>
      <c r="E546" s="27" t="s">
        <v>80</v>
      </c>
      <c r="F546" s="14"/>
      <c r="G546" s="14"/>
      <c r="H546" s="14"/>
      <c r="I546" s="14"/>
      <c r="J546" s="14">
        <f>+I546</f>
        <v>0</v>
      </c>
      <c r="K546" s="14">
        <f t="shared" ref="K546:N552" si="110">+J546</f>
        <v>0</v>
      </c>
      <c r="L546" s="14">
        <f t="shared" si="110"/>
        <v>0</v>
      </c>
      <c r="M546" s="14">
        <f t="shared" si="110"/>
        <v>0</v>
      </c>
      <c r="N546" s="14">
        <f t="shared" si="110"/>
        <v>0</v>
      </c>
    </row>
    <row r="547" spans="2:14" s="2" customFormat="1" ht="12.95" hidden="1" customHeight="1">
      <c r="B547" s="27" t="s">
        <v>26</v>
      </c>
      <c r="C547" s="11">
        <f t="shared" si="107"/>
        <v>55.51</v>
      </c>
      <c r="E547" s="27" t="s">
        <v>26</v>
      </c>
      <c r="F547" s="85">
        <v>55.51</v>
      </c>
      <c r="G547" s="14">
        <f t="shared" ref="G547:I551" si="111">+F547</f>
        <v>55.51</v>
      </c>
      <c r="H547" s="14">
        <f t="shared" si="111"/>
        <v>55.51</v>
      </c>
      <c r="I547" s="14">
        <f t="shared" si="111"/>
        <v>55.51</v>
      </c>
      <c r="J547" s="14">
        <f t="shared" ref="J547:J552" si="112">+I547</f>
        <v>55.51</v>
      </c>
      <c r="K547" s="14">
        <f t="shared" si="110"/>
        <v>55.51</v>
      </c>
      <c r="L547" s="14">
        <f t="shared" si="110"/>
        <v>55.51</v>
      </c>
      <c r="M547" s="14">
        <f t="shared" si="110"/>
        <v>55.51</v>
      </c>
      <c r="N547" s="14">
        <f t="shared" si="110"/>
        <v>55.51</v>
      </c>
    </row>
    <row r="548" spans="2:14" s="2" customFormat="1" ht="12.95" hidden="1" customHeight="1">
      <c r="B548" s="27" t="s">
        <v>27</v>
      </c>
      <c r="C548" s="11">
        <f t="shared" si="107"/>
        <v>70.040000000000006</v>
      </c>
      <c r="E548" s="27" t="s">
        <v>27</v>
      </c>
      <c r="F548" s="85">
        <v>70.040000000000006</v>
      </c>
      <c r="G548" s="14">
        <f t="shared" si="111"/>
        <v>70.040000000000006</v>
      </c>
      <c r="H548" s="14">
        <f t="shared" si="111"/>
        <v>70.040000000000006</v>
      </c>
      <c r="I548" s="14">
        <f t="shared" si="111"/>
        <v>70.040000000000006</v>
      </c>
      <c r="J548" s="14">
        <f t="shared" si="112"/>
        <v>70.040000000000006</v>
      </c>
      <c r="K548" s="14">
        <f t="shared" si="110"/>
        <v>70.040000000000006</v>
      </c>
      <c r="L548" s="14">
        <f t="shared" si="110"/>
        <v>70.040000000000006</v>
      </c>
      <c r="M548" s="14">
        <f t="shared" si="110"/>
        <v>70.040000000000006</v>
      </c>
      <c r="N548" s="14">
        <f t="shared" si="110"/>
        <v>70.040000000000006</v>
      </c>
    </row>
    <row r="549" spans="2:14" s="2" customFormat="1" ht="12.95" hidden="1" customHeight="1">
      <c r="B549" s="27" t="s">
        <v>28</v>
      </c>
      <c r="C549" s="11">
        <f t="shared" si="107"/>
        <v>93.33</v>
      </c>
      <c r="E549" s="27" t="s">
        <v>28</v>
      </c>
      <c r="F549" s="85">
        <v>93.33</v>
      </c>
      <c r="G549" s="14">
        <f t="shared" si="111"/>
        <v>93.33</v>
      </c>
      <c r="H549" s="14">
        <f t="shared" si="111"/>
        <v>93.33</v>
      </c>
      <c r="I549" s="14">
        <f t="shared" si="111"/>
        <v>93.33</v>
      </c>
      <c r="J549" s="14">
        <f t="shared" si="112"/>
        <v>93.33</v>
      </c>
      <c r="K549" s="14">
        <f t="shared" si="110"/>
        <v>93.33</v>
      </c>
      <c r="L549" s="14">
        <f t="shared" si="110"/>
        <v>93.33</v>
      </c>
      <c r="M549" s="14">
        <f t="shared" si="110"/>
        <v>93.33</v>
      </c>
      <c r="N549" s="14">
        <f t="shared" si="110"/>
        <v>93.33</v>
      </c>
    </row>
    <row r="550" spans="2:14" s="2" customFormat="1" ht="12.95" hidden="1" customHeight="1">
      <c r="B550" s="27" t="s">
        <v>29</v>
      </c>
      <c r="C550" s="11">
        <f t="shared" si="107"/>
        <v>127.72</v>
      </c>
      <c r="E550" s="27" t="s">
        <v>29</v>
      </c>
      <c r="F550" s="85">
        <v>127.72</v>
      </c>
      <c r="G550" s="14">
        <f t="shared" si="111"/>
        <v>127.72</v>
      </c>
      <c r="H550" s="14">
        <f t="shared" si="111"/>
        <v>127.72</v>
      </c>
      <c r="I550" s="14">
        <f t="shared" si="111"/>
        <v>127.72</v>
      </c>
      <c r="J550" s="14">
        <f t="shared" si="112"/>
        <v>127.72</v>
      </c>
      <c r="K550" s="14">
        <f t="shared" si="110"/>
        <v>127.72</v>
      </c>
      <c r="L550" s="14">
        <f t="shared" si="110"/>
        <v>127.72</v>
      </c>
      <c r="M550" s="14">
        <f t="shared" si="110"/>
        <v>127.72</v>
      </c>
      <c r="N550" s="14">
        <f t="shared" si="110"/>
        <v>127.72</v>
      </c>
    </row>
    <row r="551" spans="2:14" s="2" customFormat="1" ht="12.95" hidden="1" customHeight="1">
      <c r="B551" s="27" t="s">
        <v>30</v>
      </c>
      <c r="C551" s="11">
        <f t="shared" si="107"/>
        <v>37.61</v>
      </c>
      <c r="E551" s="27" t="s">
        <v>30</v>
      </c>
      <c r="F551" s="85">
        <v>37.61</v>
      </c>
      <c r="G551" s="14">
        <f t="shared" si="111"/>
        <v>37.61</v>
      </c>
      <c r="H551" s="14">
        <f t="shared" si="111"/>
        <v>37.61</v>
      </c>
      <c r="I551" s="14">
        <f t="shared" si="111"/>
        <v>37.61</v>
      </c>
      <c r="J551" s="14">
        <f t="shared" si="112"/>
        <v>37.61</v>
      </c>
      <c r="K551" s="14">
        <f t="shared" si="110"/>
        <v>37.61</v>
      </c>
      <c r="L551" s="14">
        <f t="shared" si="110"/>
        <v>37.61</v>
      </c>
      <c r="M551" s="14">
        <f t="shared" si="110"/>
        <v>37.61</v>
      </c>
      <c r="N551" s="14">
        <f t="shared" si="110"/>
        <v>37.61</v>
      </c>
    </row>
    <row r="552" spans="2:14" s="2" customFormat="1" ht="12.95" hidden="1" customHeight="1">
      <c r="B552" s="27" t="s">
        <v>32</v>
      </c>
      <c r="C552" s="11">
        <f t="shared" si="107"/>
        <v>40.01</v>
      </c>
      <c r="E552" s="27" t="s">
        <v>32</v>
      </c>
      <c r="F552" s="85">
        <v>40.01</v>
      </c>
      <c r="G552" s="14">
        <f>+F552</f>
        <v>40.01</v>
      </c>
      <c r="H552" s="14">
        <f>+G552</f>
        <v>40.01</v>
      </c>
      <c r="I552" s="14">
        <v>50.51</v>
      </c>
      <c r="J552" s="14">
        <f t="shared" si="112"/>
        <v>50.51</v>
      </c>
      <c r="K552" s="14">
        <f t="shared" si="110"/>
        <v>50.51</v>
      </c>
      <c r="L552" s="14">
        <f t="shared" si="110"/>
        <v>50.51</v>
      </c>
      <c r="M552" s="14">
        <f t="shared" si="110"/>
        <v>50.51</v>
      </c>
      <c r="N552" s="14">
        <f t="shared" si="110"/>
        <v>50.51</v>
      </c>
    </row>
    <row r="553" spans="2:14" s="2" customFormat="1" ht="12.95" hidden="1" customHeight="1">
      <c r="B553" s="28" t="s">
        <v>6</v>
      </c>
      <c r="C553" s="33">
        <f>IF($C$11=$F$11,F553*INT($C$3/3),IF($C$11=G$11,G553*INT($C$3/3),IF($C$11=H$11,H553*INT($C$3/3),IF($C$11=I$11,I553*INT($C$3/3),IF($C$11=J$11,J553*INT($C$3/3),IF($C$11=K$11,K553*INT($C$3/3),IF($C$11=L$11,L553*INT($C$3/3),IF($C$11=M$11,O553,P553))))))))</f>
        <v>0</v>
      </c>
      <c r="E553" s="28" t="s">
        <v>96</v>
      </c>
      <c r="F553" s="14"/>
      <c r="G553" s="14"/>
      <c r="H553" s="14"/>
      <c r="I553" s="14"/>
      <c r="J553" s="14"/>
      <c r="K553" s="14"/>
      <c r="L553" s="14"/>
    </row>
    <row r="554" spans="2:14" s="2" customFormat="1" ht="12.95" hidden="1" customHeight="1">
      <c r="B554" s="28" t="s">
        <v>7</v>
      </c>
      <c r="C554" s="11">
        <f t="shared" si="107"/>
        <v>0</v>
      </c>
      <c r="E554" s="28" t="s">
        <v>7</v>
      </c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2:14" s="2" customFormat="1" ht="12.95" hidden="1" customHeight="1">
      <c r="B555" s="28" t="s">
        <v>8</v>
      </c>
      <c r="C555" s="11">
        <f t="shared" si="107"/>
        <v>40.69</v>
      </c>
      <c r="E555" s="28" t="s">
        <v>8</v>
      </c>
      <c r="F555" s="14">
        <v>40.69</v>
      </c>
      <c r="G555" s="14">
        <v>40.69</v>
      </c>
      <c r="H555" s="14">
        <v>40.69</v>
      </c>
      <c r="I555" s="14">
        <v>53.34</v>
      </c>
      <c r="J555" s="14">
        <f>+I555</f>
        <v>53.34</v>
      </c>
      <c r="K555" s="14">
        <f t="shared" ref="K555" si="113">+J555</f>
        <v>53.34</v>
      </c>
      <c r="L555" s="14">
        <f t="shared" ref="L555" si="114">+K555</f>
        <v>53.34</v>
      </c>
      <c r="M555" s="2">
        <f t="shared" ref="M555" si="115">+L555</f>
        <v>53.34</v>
      </c>
      <c r="N555" s="2">
        <f t="shared" ref="N555" si="116">+M555</f>
        <v>53.34</v>
      </c>
    </row>
    <row r="556" spans="2:14" s="2" customFormat="1" ht="12.95" hidden="1" customHeight="1">
      <c r="B556" s="29" t="s">
        <v>77</v>
      </c>
      <c r="C556" s="11">
        <f t="shared" si="107"/>
        <v>0</v>
      </c>
      <c r="E556" s="29" t="s">
        <v>77</v>
      </c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2:14" s="2" customFormat="1" ht="12.95" hidden="1" customHeight="1">
      <c r="B557" s="30" t="s">
        <v>81</v>
      </c>
      <c r="C557" s="11">
        <f t="shared" si="107"/>
        <v>0</v>
      </c>
      <c r="E557" s="30" t="s">
        <v>81</v>
      </c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2:14" s="2" customFormat="1" ht="12.95" hidden="1" customHeight="1">
      <c r="B558" s="30" t="s">
        <v>78</v>
      </c>
      <c r="C558" s="11">
        <f t="shared" si="107"/>
        <v>0</v>
      </c>
      <c r="E558" s="30" t="s">
        <v>78</v>
      </c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2:14" s="2" customFormat="1" ht="12.95" hidden="1" customHeight="1">
      <c r="B559" s="30" t="s">
        <v>82</v>
      </c>
      <c r="C559" s="11">
        <f t="shared" si="107"/>
        <v>0</v>
      </c>
      <c r="E559" s="30" t="s">
        <v>82</v>
      </c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2:14" s="2" customFormat="1" ht="12.95" hidden="1" customHeight="1">
      <c r="B560" s="31" t="s">
        <v>79</v>
      </c>
      <c r="C560" s="11">
        <f t="shared" si="107"/>
        <v>0</v>
      </c>
      <c r="E560" s="31" t="s">
        <v>79</v>
      </c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2:14" s="2" customFormat="1" ht="12.95" hidden="1" customHeight="1">
      <c r="B561" s="22" t="s">
        <v>9</v>
      </c>
      <c r="C561" s="11">
        <f t="shared" si="107"/>
        <v>-37.67</v>
      </c>
      <c r="E561" s="22" t="s">
        <v>9</v>
      </c>
      <c r="F561" s="20">
        <v>-37.67</v>
      </c>
      <c r="G561" s="20">
        <v>-37.67</v>
      </c>
      <c r="H561" s="20">
        <v>-37.67</v>
      </c>
      <c r="I561" s="20">
        <v>-47.86</v>
      </c>
      <c r="J561" s="20">
        <v>-47.86</v>
      </c>
      <c r="K561" s="20">
        <v>-47.86</v>
      </c>
      <c r="L561" s="20">
        <v>-47.86</v>
      </c>
      <c r="M561" s="20">
        <v>-47.86</v>
      </c>
      <c r="N561" s="20">
        <v>-47.86</v>
      </c>
    </row>
    <row r="562" spans="2:14" s="2" customFormat="1" ht="12.95" hidden="1" customHeight="1">
      <c r="B562" s="22" t="s">
        <v>16</v>
      </c>
      <c r="C562" s="11">
        <f t="shared" si="107"/>
        <v>-86.03</v>
      </c>
      <c r="E562" s="22" t="s">
        <v>16</v>
      </c>
      <c r="F562" s="20">
        <v>-86.03</v>
      </c>
      <c r="G562" s="20">
        <v>-86.03</v>
      </c>
      <c r="H562" s="20">
        <v>-86.03</v>
      </c>
      <c r="I562" s="20">
        <v>-109.31</v>
      </c>
      <c r="J562" s="20">
        <v>-109.31</v>
      </c>
      <c r="K562" s="20">
        <v>-109.31</v>
      </c>
      <c r="L562" s="20">
        <v>-109.31</v>
      </c>
      <c r="M562" s="20">
        <v>-109.31</v>
      </c>
      <c r="N562" s="20">
        <v>-109.31</v>
      </c>
    </row>
    <row r="563" spans="2:14" hidden="1">
      <c r="B563" s="1" t="s">
        <v>18</v>
      </c>
      <c r="C563" s="11">
        <f t="shared" si="107"/>
        <v>39266.109599999989</v>
      </c>
      <c r="E563" s="32" t="s">
        <v>18</v>
      </c>
      <c r="F563" s="82">
        <f>((+F539+F543+F544+F545)*12)+(F541*INT($C$3/3)*12)+((F540+F543)*2)+((F544+F545)*0.78*2)+(F542*INT($C$3/3)*2)+(IF($C$6="s",(F554+12)+(F555*INT($C$3/3)*12),F553*12))+(IF($C$4="s",F556,0))+(((IF(INT($C$3/3)&lt;6,F546,0))+(IF(AND(INT($C$3/6)&gt;0,INT($C$3/6)&lt;2),F547,0))+(IF(AND(INT($C$3/6)&gt;1,INT($C$3/6)&lt;3),F547+F548,0))+(IF(AND(INT($C$3/6)&gt;2,INT($C$3/6)&lt;4),F547+F548+F549,0))+(IF(AND(INT($C$3/6)&gt;3,INT($C$3/6)&lt;5),F547+F548+F549+F550,0))+(IF(INT($C$3/6)&gt;4,F547+F548+F549+F550+F551,0)))*12)+(IF($C$7="s",F552*12,0))++(((IF(INT($C$3/3)&lt;6,F546,0))+(IF(AND(INT($C$3/6)&gt;0,INT($C$3/6)&lt;2),F547,0))+(IF(AND(INT($C$3/6)&gt;1,INT($C$3/6)&lt;3),F547+F548,0))+(IF(AND(INT($C$3/6)&gt;2,INT($C$3/6)&lt;4),F547+F548+F549,0))+(IF(AND(INT($C$3/6)&gt;3,INT($C$3/6)&lt;5),F547+F548+F549+F550,0))+(IF(INT($C$3/6)&gt;4,F547+F548+F549+F550+F551,0)))*2*0.78)+(F557*12)+(F558*2)</f>
        <v>39266.109599999989</v>
      </c>
      <c r="G563" s="82">
        <f t="shared" ref="G563:N563" si="117">((+G539+G543+G544+G545)*12)+(G541*INT($C$3/3)*12)+((G540+G543)*2)+((G544+G545)*0.78*2)+(G542*INT($C$3/3)*2)+(IF($C$6="s",(G554+12)+(G555*INT($C$3/3)*12),G553*12))+(IF($C$4="s",G556,0))+(((IF(INT($C$3/3)&lt;6,G546,0))+(IF(AND(INT($C$3/6)&gt;0,INT($C$3/6)&lt;2),G547,0))+(IF(AND(INT($C$3/6)&gt;1,INT($C$3/6)&lt;3),G547+G548,0))+(IF(AND(INT($C$3/6)&gt;2,INT($C$3/6)&lt;4),G547+G548+G549,0))+(IF(AND(INT($C$3/6)&gt;3,INT($C$3/6)&lt;5),G547+G548+G549+G550,0))+(IF(INT($C$3/6)&gt;4,G547+G548+G549+G550+G551,0)))*12)+(IF($C$7="s",G552*12,0))++(((IF(INT($C$3/3)&lt;6,G546,0))+(IF(AND(INT($C$3/6)&gt;0,INT($C$3/6)&lt;2),G547,0))+(IF(AND(INT($C$3/6)&gt;1,INT($C$3/6)&lt;3),G547+G548,0))+(IF(AND(INT($C$3/6)&gt;2,INT($C$3/6)&lt;4),G547+G548+G549,0))+(IF(AND(INT($C$3/6)&gt;3,INT($C$3/6)&lt;5),G547+G548+G549+G550,0))+(IF(INT($C$3/6)&gt;4,G547+G548+G549+G550+G551,0)))*2*0.78)+(G557*12)+(G558*2)</f>
        <v>40800.089599999992</v>
      </c>
      <c r="H563" s="82">
        <f t="shared" si="117"/>
        <v>40800.089599999992</v>
      </c>
      <c r="I563" s="82">
        <f t="shared" si="117"/>
        <v>46169.910400000001</v>
      </c>
      <c r="J563" s="82">
        <f t="shared" si="117"/>
        <v>46169.910400000001</v>
      </c>
      <c r="K563" s="82">
        <f t="shared" si="117"/>
        <v>46169.910400000001</v>
      </c>
      <c r="L563" s="82">
        <f t="shared" si="117"/>
        <v>46169.910400000001</v>
      </c>
      <c r="M563" s="82">
        <f t="shared" si="117"/>
        <v>46169.910400000001</v>
      </c>
      <c r="N563" s="82">
        <f t="shared" si="117"/>
        <v>46169.910400000001</v>
      </c>
    </row>
    <row r="564" spans="2:14" hidden="1"/>
    <row r="565" spans="2:14" hidden="1"/>
    <row r="566" spans="2:14" hidden="1"/>
    <row r="567" spans="2:14" hidden="1"/>
    <row r="568" spans="2:14" hidden="1"/>
    <row r="569" spans="2:14" hidden="1"/>
    <row r="570" spans="2:14" s="2" customFormat="1" ht="12.95" hidden="1" customHeight="1">
      <c r="B570" s="3"/>
      <c r="C570" s="2" t="str">
        <f>+E571</f>
        <v>País Vasco</v>
      </c>
    </row>
    <row r="571" spans="2:14" s="2" customFormat="1" ht="35.25" hidden="1" customHeight="1">
      <c r="C571" s="7" t="str">
        <f>+$C$11</f>
        <v>597-Maestros</v>
      </c>
      <c r="E571" s="15" t="s">
        <v>50</v>
      </c>
      <c r="F571" s="6" t="s">
        <v>60</v>
      </c>
      <c r="G571" s="6" t="s">
        <v>55</v>
      </c>
      <c r="H571" s="6" t="s">
        <v>59</v>
      </c>
      <c r="I571" s="6" t="s">
        <v>54</v>
      </c>
      <c r="J571" s="6" t="s">
        <v>56</v>
      </c>
      <c r="K571" s="6" t="s">
        <v>57</v>
      </c>
      <c r="L571" s="6" t="s">
        <v>58</v>
      </c>
      <c r="M571" s="6" t="s">
        <v>53</v>
      </c>
      <c r="N571" s="6" t="s">
        <v>52</v>
      </c>
    </row>
    <row r="572" spans="2:14" s="2" customFormat="1" ht="12.95" hidden="1" customHeight="1">
      <c r="B572" s="12" t="s">
        <v>1</v>
      </c>
      <c r="C572" s="11" t="str">
        <f t="shared" ref="C572:C598" si="118">IF($C$11=$F$11,F572,IF($C$11=G$11,G572,IF($C$11=H$11,H572,IF($C$11=I$11,I572,IF($C$11=J$11,J572,IF($C$11=K$11,K572,IF($C$11=L$11,L572,IF($C$11=M$11,M572,N572))))))))</f>
        <v>A2</v>
      </c>
      <c r="E572" s="5" t="s">
        <v>1</v>
      </c>
      <c r="F572" s="4" t="s">
        <v>61</v>
      </c>
      <c r="G572" s="4" t="s">
        <v>61</v>
      </c>
      <c r="H572" s="4" t="s">
        <v>61</v>
      </c>
      <c r="I572" s="4" t="s">
        <v>17</v>
      </c>
      <c r="J572" s="4" t="s">
        <v>17</v>
      </c>
      <c r="K572" s="4" t="s">
        <v>17</v>
      </c>
      <c r="L572" s="4" t="s">
        <v>17</v>
      </c>
      <c r="M572" s="4" t="s">
        <v>17</v>
      </c>
      <c r="N572" s="4" t="s">
        <v>17</v>
      </c>
    </row>
    <row r="573" spans="2:14" s="2" customFormat="1" ht="12.95" hidden="1" customHeight="1">
      <c r="B573" s="12" t="str">
        <f>+E573</f>
        <v>Nivel</v>
      </c>
      <c r="C573" s="11">
        <f t="shared" si="118"/>
        <v>21</v>
      </c>
      <c r="E573" s="5" t="s">
        <v>0</v>
      </c>
      <c r="F573" s="4">
        <v>21</v>
      </c>
      <c r="G573" s="4">
        <v>24</v>
      </c>
      <c r="H573" s="4">
        <v>24</v>
      </c>
      <c r="I573" s="4">
        <v>24</v>
      </c>
      <c r="J573" s="4">
        <v>24</v>
      </c>
      <c r="K573" s="4">
        <v>24</v>
      </c>
      <c r="L573" s="4">
        <v>24</v>
      </c>
      <c r="M573" s="4">
        <v>26</v>
      </c>
      <c r="N573" s="4">
        <v>26</v>
      </c>
    </row>
    <row r="574" spans="2:14" s="2" customFormat="1" ht="12.95" hidden="1" customHeight="1">
      <c r="B574" s="13" t="s">
        <v>2</v>
      </c>
      <c r="C574" s="11">
        <f t="shared" si="118"/>
        <v>958.98</v>
      </c>
      <c r="E574" s="13" t="s">
        <v>2</v>
      </c>
      <c r="F574" s="14">
        <v>958.98</v>
      </c>
      <c r="G574" s="14">
        <v>958.98</v>
      </c>
      <c r="H574" s="14">
        <v>958.98</v>
      </c>
      <c r="I574" s="14">
        <v>1109.0999999999999</v>
      </c>
      <c r="J574" s="14">
        <f t="shared" ref="J574:N581" si="119">+I574</f>
        <v>1109.0999999999999</v>
      </c>
      <c r="K574" s="14">
        <f t="shared" si="119"/>
        <v>1109.0999999999999</v>
      </c>
      <c r="L574" s="14">
        <f t="shared" si="119"/>
        <v>1109.0999999999999</v>
      </c>
      <c r="M574" s="14">
        <f t="shared" si="119"/>
        <v>1109.0999999999999</v>
      </c>
      <c r="N574" s="14">
        <f t="shared" si="119"/>
        <v>1109.0999999999999</v>
      </c>
    </row>
    <row r="575" spans="2:14" s="2" customFormat="1" ht="12.95" hidden="1" customHeight="1">
      <c r="B575" s="13" t="s">
        <v>64</v>
      </c>
      <c r="C575" s="11">
        <f t="shared" si="118"/>
        <v>699.38</v>
      </c>
      <c r="E575" s="13" t="s">
        <v>64</v>
      </c>
      <c r="F575" s="19">
        <v>699.38</v>
      </c>
      <c r="G575" s="19">
        <v>699.38</v>
      </c>
      <c r="H575" s="19">
        <v>699.38</v>
      </c>
      <c r="I575" s="19">
        <v>684.36</v>
      </c>
      <c r="J575" s="14">
        <f t="shared" si="119"/>
        <v>684.36</v>
      </c>
      <c r="K575" s="14">
        <f t="shared" si="119"/>
        <v>684.36</v>
      </c>
      <c r="L575" s="14">
        <f t="shared" si="119"/>
        <v>684.36</v>
      </c>
      <c r="M575" s="14">
        <f t="shared" si="119"/>
        <v>684.36</v>
      </c>
      <c r="N575" s="14">
        <f t="shared" si="119"/>
        <v>684.36</v>
      </c>
    </row>
    <row r="576" spans="2:14" s="2" customFormat="1" ht="12.95" hidden="1" customHeight="1">
      <c r="B576" s="13" t="s">
        <v>3</v>
      </c>
      <c r="C576" s="11">
        <f t="shared" si="118"/>
        <v>34.770000000000003</v>
      </c>
      <c r="E576" s="13" t="s">
        <v>3</v>
      </c>
      <c r="F576" s="14">
        <v>34.770000000000003</v>
      </c>
      <c r="G576" s="14">
        <v>34.770000000000003</v>
      </c>
      <c r="H576" s="14">
        <v>34.770000000000003</v>
      </c>
      <c r="I576" s="14">
        <v>42.65</v>
      </c>
      <c r="J576" s="14">
        <f t="shared" si="119"/>
        <v>42.65</v>
      </c>
      <c r="K576" s="14">
        <f t="shared" si="119"/>
        <v>42.65</v>
      </c>
      <c r="L576" s="14">
        <f t="shared" si="119"/>
        <v>42.65</v>
      </c>
      <c r="M576" s="14">
        <f t="shared" si="119"/>
        <v>42.65</v>
      </c>
      <c r="N576" s="14">
        <f t="shared" si="119"/>
        <v>42.65</v>
      </c>
    </row>
    <row r="577" spans="2:14" s="2" customFormat="1" ht="12.95" hidden="1" customHeight="1">
      <c r="B577" s="13" t="s">
        <v>65</v>
      </c>
      <c r="C577" s="11">
        <f t="shared" si="118"/>
        <v>25.35</v>
      </c>
      <c r="E577" s="13" t="s">
        <v>65</v>
      </c>
      <c r="F577" s="19">
        <v>25.35</v>
      </c>
      <c r="G577" s="19">
        <v>25.35</v>
      </c>
      <c r="H577" s="19">
        <v>25.35</v>
      </c>
      <c r="I577" s="19">
        <v>26.31</v>
      </c>
      <c r="J577" s="14">
        <f t="shared" si="119"/>
        <v>26.31</v>
      </c>
      <c r="K577" s="14">
        <f t="shared" si="119"/>
        <v>26.31</v>
      </c>
      <c r="L577" s="14">
        <f t="shared" si="119"/>
        <v>26.31</v>
      </c>
      <c r="M577" s="14">
        <f t="shared" si="119"/>
        <v>26.31</v>
      </c>
      <c r="N577" s="14">
        <f t="shared" si="119"/>
        <v>26.31</v>
      </c>
    </row>
    <row r="578" spans="2:14" s="2" customFormat="1" ht="12.95" hidden="1" customHeight="1">
      <c r="B578" s="13" t="s">
        <v>4</v>
      </c>
      <c r="C578" s="11">
        <f t="shared" si="118"/>
        <v>560.58000000000004</v>
      </c>
      <c r="E578" s="13" t="s">
        <v>4</v>
      </c>
      <c r="F578" s="14">
        <v>560.58000000000004</v>
      </c>
      <c r="G578" s="14">
        <v>703.58</v>
      </c>
      <c r="H578" s="14">
        <v>703.58</v>
      </c>
      <c r="I578" s="14">
        <v>703.58</v>
      </c>
      <c r="J578" s="14">
        <f t="shared" si="119"/>
        <v>703.58</v>
      </c>
      <c r="K578" s="14">
        <f t="shared" si="119"/>
        <v>703.58</v>
      </c>
      <c r="L578" s="14">
        <f t="shared" si="119"/>
        <v>703.58</v>
      </c>
      <c r="M578" s="14">
        <f t="shared" si="119"/>
        <v>703.58</v>
      </c>
      <c r="N578" s="14">
        <f t="shared" si="119"/>
        <v>703.58</v>
      </c>
    </row>
    <row r="579" spans="2:14" s="2" customFormat="1" ht="12.95" hidden="1" customHeight="1">
      <c r="B579" s="13" t="s">
        <v>5</v>
      </c>
      <c r="C579" s="11">
        <f t="shared" si="118"/>
        <v>816.27</v>
      </c>
      <c r="E579" s="13" t="s">
        <v>5</v>
      </c>
      <c r="F579" s="14">
        <v>816.27</v>
      </c>
      <c r="G579" s="14">
        <v>998.79</v>
      </c>
      <c r="H579" s="14">
        <v>998.79</v>
      </c>
      <c r="I579" s="14">
        <v>890.68</v>
      </c>
      <c r="J579" s="14">
        <f t="shared" si="119"/>
        <v>890.68</v>
      </c>
      <c r="K579" s="14">
        <f t="shared" si="119"/>
        <v>890.68</v>
      </c>
      <c r="L579" s="14">
        <f t="shared" si="119"/>
        <v>890.68</v>
      </c>
      <c r="M579" s="14">
        <f t="shared" si="119"/>
        <v>890.68</v>
      </c>
      <c r="N579" s="14">
        <f t="shared" si="119"/>
        <v>890.68</v>
      </c>
    </row>
    <row r="580" spans="2:14" s="2" customFormat="1" ht="12.95" hidden="1" customHeight="1">
      <c r="B580" s="27" t="s">
        <v>66</v>
      </c>
      <c r="C580" s="11">
        <f t="shared" si="118"/>
        <v>0</v>
      </c>
      <c r="E580" s="27" t="s">
        <v>66</v>
      </c>
      <c r="F580" s="14"/>
      <c r="G580" s="14"/>
      <c r="H580" s="14"/>
      <c r="I580" s="14"/>
      <c r="J580" s="14">
        <f t="shared" si="119"/>
        <v>0</v>
      </c>
      <c r="K580" s="14">
        <f t="shared" si="119"/>
        <v>0</v>
      </c>
      <c r="L580" s="14">
        <f t="shared" si="119"/>
        <v>0</v>
      </c>
      <c r="M580" s="14">
        <f t="shared" si="119"/>
        <v>0</v>
      </c>
      <c r="N580" s="14">
        <f t="shared" si="119"/>
        <v>0</v>
      </c>
    </row>
    <row r="581" spans="2:14" s="2" customFormat="1" ht="12.95" hidden="1" customHeight="1">
      <c r="B581" s="27" t="s">
        <v>80</v>
      </c>
      <c r="C581" s="11">
        <f t="shared" si="118"/>
        <v>0</v>
      </c>
      <c r="E581" s="27" t="s">
        <v>80</v>
      </c>
      <c r="F581" s="14"/>
      <c r="G581" s="14"/>
      <c r="H581" s="14"/>
      <c r="I581" s="14"/>
      <c r="J581" s="14">
        <f t="shared" si="119"/>
        <v>0</v>
      </c>
      <c r="K581" s="14">
        <f t="shared" si="119"/>
        <v>0</v>
      </c>
      <c r="L581" s="14">
        <f t="shared" si="119"/>
        <v>0</v>
      </c>
      <c r="M581" s="14">
        <f t="shared" si="119"/>
        <v>0</v>
      </c>
      <c r="N581" s="14">
        <f t="shared" si="119"/>
        <v>0</v>
      </c>
    </row>
    <row r="582" spans="2:14" s="2" customFormat="1" ht="12.95" hidden="1" customHeight="1">
      <c r="B582" s="27" t="s">
        <v>26</v>
      </c>
      <c r="C582" s="11">
        <f t="shared" si="118"/>
        <v>77.36</v>
      </c>
      <c r="E582" s="27" t="s">
        <v>26</v>
      </c>
      <c r="F582" s="14">
        <v>77.36</v>
      </c>
      <c r="G582" s="14">
        <f t="shared" ref="G582:I587" si="120">+F582</f>
        <v>77.36</v>
      </c>
      <c r="H582" s="14">
        <f t="shared" si="120"/>
        <v>77.36</v>
      </c>
      <c r="I582" s="14">
        <f t="shared" si="120"/>
        <v>77.36</v>
      </c>
      <c r="J582" s="14">
        <f t="shared" ref="J582:N587" si="121">+I582</f>
        <v>77.36</v>
      </c>
      <c r="K582" s="14">
        <f t="shared" si="121"/>
        <v>77.36</v>
      </c>
      <c r="L582" s="14">
        <f t="shared" si="121"/>
        <v>77.36</v>
      </c>
      <c r="M582" s="14">
        <f t="shared" si="121"/>
        <v>77.36</v>
      </c>
      <c r="N582" s="14">
        <f t="shared" si="121"/>
        <v>77.36</v>
      </c>
    </row>
    <row r="583" spans="2:14" s="2" customFormat="1" ht="12.95" hidden="1" customHeight="1">
      <c r="B583" s="27" t="s">
        <v>27</v>
      </c>
      <c r="C583" s="11">
        <f t="shared" si="118"/>
        <v>0</v>
      </c>
      <c r="E583" s="27" t="s">
        <v>27</v>
      </c>
      <c r="F583" s="14"/>
      <c r="G583" s="14">
        <f t="shared" si="120"/>
        <v>0</v>
      </c>
      <c r="H583" s="14">
        <f t="shared" si="120"/>
        <v>0</v>
      </c>
      <c r="I583" s="14">
        <f t="shared" si="120"/>
        <v>0</v>
      </c>
      <c r="J583" s="14">
        <f t="shared" si="121"/>
        <v>0</v>
      </c>
      <c r="K583" s="14">
        <f t="shared" si="121"/>
        <v>0</v>
      </c>
      <c r="L583" s="14">
        <f t="shared" si="121"/>
        <v>0</v>
      </c>
      <c r="M583" s="14">
        <f t="shared" si="121"/>
        <v>0</v>
      </c>
      <c r="N583" s="14">
        <f t="shared" si="121"/>
        <v>0</v>
      </c>
    </row>
    <row r="584" spans="2:14" s="2" customFormat="1" ht="12.95" hidden="1" customHeight="1">
      <c r="B584" s="27" t="s">
        <v>28</v>
      </c>
      <c r="C584" s="11">
        <f t="shared" si="118"/>
        <v>0</v>
      </c>
      <c r="E584" s="27" t="s">
        <v>28</v>
      </c>
      <c r="F584" s="14"/>
      <c r="G584" s="14">
        <f t="shared" si="120"/>
        <v>0</v>
      </c>
      <c r="H584" s="14">
        <f t="shared" si="120"/>
        <v>0</v>
      </c>
      <c r="I584" s="14">
        <f t="shared" si="120"/>
        <v>0</v>
      </c>
      <c r="J584" s="14">
        <f t="shared" si="121"/>
        <v>0</v>
      </c>
      <c r="K584" s="14">
        <f t="shared" si="121"/>
        <v>0</v>
      </c>
      <c r="L584" s="14">
        <f t="shared" si="121"/>
        <v>0</v>
      </c>
      <c r="M584" s="14">
        <f t="shared" si="121"/>
        <v>0</v>
      </c>
      <c r="N584" s="14">
        <f t="shared" si="121"/>
        <v>0</v>
      </c>
    </row>
    <row r="585" spans="2:14" s="2" customFormat="1" ht="12.95" hidden="1" customHeight="1">
      <c r="B585" s="27" t="s">
        <v>29</v>
      </c>
      <c r="C585" s="11">
        <f t="shared" si="118"/>
        <v>46.15</v>
      </c>
      <c r="E585" s="27" t="s">
        <v>29</v>
      </c>
      <c r="F585" s="14">
        <v>46.15</v>
      </c>
      <c r="G585" s="14">
        <f t="shared" si="120"/>
        <v>46.15</v>
      </c>
      <c r="H585" s="14">
        <f t="shared" si="120"/>
        <v>46.15</v>
      </c>
      <c r="I585" s="14">
        <f t="shared" si="120"/>
        <v>46.15</v>
      </c>
      <c r="J585" s="14">
        <f t="shared" si="121"/>
        <v>46.15</v>
      </c>
      <c r="K585" s="14">
        <f t="shared" si="121"/>
        <v>46.15</v>
      </c>
      <c r="L585" s="14">
        <f t="shared" si="121"/>
        <v>46.15</v>
      </c>
      <c r="M585" s="14">
        <f t="shared" si="121"/>
        <v>46.15</v>
      </c>
      <c r="N585" s="14">
        <f t="shared" si="121"/>
        <v>46.15</v>
      </c>
    </row>
    <row r="586" spans="2:14" s="2" customFormat="1" ht="12.95" hidden="1" customHeight="1">
      <c r="B586" s="27" t="s">
        <v>30</v>
      </c>
      <c r="C586" s="11">
        <f t="shared" si="118"/>
        <v>38.24</v>
      </c>
      <c r="E586" s="27" t="s">
        <v>30</v>
      </c>
      <c r="F586" s="14">
        <v>38.24</v>
      </c>
      <c r="G586" s="14">
        <f t="shared" si="120"/>
        <v>38.24</v>
      </c>
      <c r="H586" s="14">
        <f t="shared" si="120"/>
        <v>38.24</v>
      </c>
      <c r="I586" s="14">
        <f t="shared" si="120"/>
        <v>38.24</v>
      </c>
      <c r="J586" s="14">
        <f t="shared" si="121"/>
        <v>38.24</v>
      </c>
      <c r="K586" s="14">
        <f t="shared" si="121"/>
        <v>38.24</v>
      </c>
      <c r="L586" s="14">
        <f t="shared" si="121"/>
        <v>38.24</v>
      </c>
      <c r="M586" s="14">
        <f t="shared" si="121"/>
        <v>38.24</v>
      </c>
      <c r="N586" s="14">
        <f t="shared" si="121"/>
        <v>38.24</v>
      </c>
    </row>
    <row r="587" spans="2:14" s="2" customFormat="1" ht="12.95" hidden="1" customHeight="1">
      <c r="B587" s="27" t="s">
        <v>32</v>
      </c>
      <c r="C587" s="11">
        <f t="shared" si="118"/>
        <v>57.03</v>
      </c>
      <c r="E587" s="27" t="s">
        <v>32</v>
      </c>
      <c r="F587" s="14">
        <v>57.03</v>
      </c>
      <c r="G587" s="14">
        <f t="shared" si="120"/>
        <v>57.03</v>
      </c>
      <c r="H587" s="14">
        <f t="shared" si="120"/>
        <v>57.03</v>
      </c>
      <c r="I587" s="14">
        <f t="shared" si="120"/>
        <v>57.03</v>
      </c>
      <c r="J587" s="14">
        <f t="shared" si="121"/>
        <v>57.03</v>
      </c>
      <c r="K587" s="14">
        <f t="shared" si="121"/>
        <v>57.03</v>
      </c>
      <c r="L587" s="14">
        <f t="shared" si="121"/>
        <v>57.03</v>
      </c>
      <c r="M587" s="14">
        <f t="shared" si="121"/>
        <v>57.03</v>
      </c>
      <c r="N587" s="14">
        <f t="shared" si="121"/>
        <v>57.03</v>
      </c>
    </row>
    <row r="588" spans="2:14" s="2" customFormat="1" ht="12.95" hidden="1" customHeight="1">
      <c r="B588" s="28" t="s">
        <v>6</v>
      </c>
      <c r="C588" s="11">
        <f t="shared" si="118"/>
        <v>0</v>
      </c>
      <c r="E588" s="28" t="s">
        <v>6</v>
      </c>
      <c r="F588" s="14"/>
      <c r="G588" s="14"/>
      <c r="H588" s="14"/>
      <c r="I588" s="14"/>
      <c r="J588" s="14">
        <f>+I588</f>
        <v>0</v>
      </c>
      <c r="K588" s="14">
        <f>+J588</f>
        <v>0</v>
      </c>
      <c r="L588" s="14">
        <f>+K588</f>
        <v>0</v>
      </c>
      <c r="M588" s="2">
        <f>+L588</f>
        <v>0</v>
      </c>
      <c r="N588" s="2">
        <f>+M588</f>
        <v>0</v>
      </c>
    </row>
    <row r="589" spans="2:14" s="2" customFormat="1" ht="12.95" hidden="1" customHeight="1">
      <c r="B589" s="28" t="s">
        <v>7</v>
      </c>
      <c r="C589" s="11">
        <f t="shared" si="118"/>
        <v>0</v>
      </c>
      <c r="E589" s="28" t="s">
        <v>7</v>
      </c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2:14" s="2" customFormat="1" ht="12.95" hidden="1" customHeight="1">
      <c r="B590" s="28" t="s">
        <v>8</v>
      </c>
      <c r="C590" s="11">
        <f t="shared" si="118"/>
        <v>0</v>
      </c>
      <c r="E590" s="28" t="s">
        <v>8</v>
      </c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2:14" s="2" customFormat="1" ht="12.95" hidden="1" customHeight="1">
      <c r="B591" s="29" t="s">
        <v>77</v>
      </c>
      <c r="C591" s="11">
        <f t="shared" si="118"/>
        <v>0</v>
      </c>
      <c r="E591" s="29" t="s">
        <v>77</v>
      </c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2:14" s="2" customFormat="1" ht="12.95" hidden="1" customHeight="1">
      <c r="B592" s="30" t="s">
        <v>81</v>
      </c>
      <c r="C592" s="11">
        <f t="shared" si="118"/>
        <v>7.13</v>
      </c>
      <c r="E592" s="30" t="s">
        <v>81</v>
      </c>
      <c r="F592" s="14">
        <v>7.13</v>
      </c>
      <c r="G592" s="14">
        <v>7.13</v>
      </c>
      <c r="H592" s="14">
        <v>7.13</v>
      </c>
      <c r="I592" s="14"/>
      <c r="J592" s="14"/>
      <c r="K592" s="14"/>
      <c r="L592" s="14"/>
      <c r="M592" s="14"/>
      <c r="N592" s="14"/>
    </row>
    <row r="593" spans="2:14" s="2" customFormat="1" ht="12.95" hidden="1" customHeight="1">
      <c r="B593" s="30" t="s">
        <v>78</v>
      </c>
      <c r="C593" s="11">
        <f t="shared" si="118"/>
        <v>0</v>
      </c>
      <c r="E593" s="30" t="s">
        <v>78</v>
      </c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2:14" s="2" customFormat="1" ht="12.95" hidden="1" customHeight="1">
      <c r="B594" s="30" t="s">
        <v>82</v>
      </c>
      <c r="C594" s="11">
        <f t="shared" si="118"/>
        <v>0</v>
      </c>
      <c r="E594" s="30" t="s">
        <v>82</v>
      </c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2:14" s="2" customFormat="1" ht="12.95" hidden="1" customHeight="1">
      <c r="B595" s="31" t="s">
        <v>79</v>
      </c>
      <c r="C595" s="11">
        <f t="shared" si="118"/>
        <v>0</v>
      </c>
      <c r="E595" s="31" t="s">
        <v>79</v>
      </c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2:14" s="2" customFormat="1" ht="12.95" hidden="1" customHeight="1">
      <c r="B596" s="22" t="s">
        <v>9</v>
      </c>
      <c r="C596" s="11">
        <f t="shared" si="118"/>
        <v>-37.67</v>
      </c>
      <c r="E596" s="22" t="s">
        <v>9</v>
      </c>
      <c r="F596" s="20">
        <v>-37.67</v>
      </c>
      <c r="G596" s="20">
        <v>-37.67</v>
      </c>
      <c r="H596" s="20">
        <v>-37.67</v>
      </c>
      <c r="I596" s="20">
        <v>-47.86</v>
      </c>
      <c r="J596" s="20">
        <v>-47.86</v>
      </c>
      <c r="K596" s="20">
        <v>-47.86</v>
      </c>
      <c r="L596" s="20">
        <v>-47.86</v>
      </c>
      <c r="M596" s="20">
        <v>-47.86</v>
      </c>
      <c r="N596" s="20">
        <v>-47.86</v>
      </c>
    </row>
    <row r="597" spans="2:14" s="2" customFormat="1" ht="12.95" hidden="1" customHeight="1">
      <c r="B597" s="22" t="s">
        <v>16</v>
      </c>
      <c r="C597" s="11">
        <f t="shared" si="118"/>
        <v>-86.03</v>
      </c>
      <c r="E597" s="22" t="s">
        <v>16</v>
      </c>
      <c r="F597" s="20">
        <v>-86.03</v>
      </c>
      <c r="G597" s="20">
        <v>-86.03</v>
      </c>
      <c r="H597" s="20">
        <v>-86.03</v>
      </c>
      <c r="I597" s="20">
        <v>-109.31</v>
      </c>
      <c r="J597" s="20">
        <v>-109.31</v>
      </c>
      <c r="K597" s="20">
        <v>-109.31</v>
      </c>
      <c r="L597" s="20">
        <v>-109.31</v>
      </c>
      <c r="M597" s="20">
        <v>-109.31</v>
      </c>
      <c r="N597" s="20">
        <v>-109.31</v>
      </c>
    </row>
    <row r="598" spans="2:14" hidden="1">
      <c r="B598" s="1" t="s">
        <v>18</v>
      </c>
      <c r="C598" s="11">
        <f t="shared" si="118"/>
        <v>35765.462800000001</v>
      </c>
      <c r="E598" s="32" t="s">
        <v>18</v>
      </c>
      <c r="F598" s="82">
        <f>((+F574+F578+F579+F580)*12)+(F576*INT($C$3/3)*12)+((F575+F578)*2)+((F579+F580)*0.78*2)+(F577*INT($C$3/3)*2)+(IF($C$6="s",(F589+12)+(F590*INT($C$3/3)*12),F588*12))+(IF($C$4="s",F591,0))+(((IF(INT($C$3/3)&lt;6,F581,0))+(IF(AND(INT($C$3/6)&gt;0,INT($C$3/6)&lt;2),F582,0))+(IF(AND(INT($C$3/6)&gt;1,INT($C$3/6)&lt;3),F582+F583,0))+(IF(AND(INT($C$3/6)&gt;2,INT($C$3/6)&lt;4),F582+F583+F584,0))+(IF(AND(INT($C$3/6)&gt;3,INT($C$3/6)&lt;5),F582+F583+F584+F585,0))+(IF(INT($C$3/6)&gt;4,F582+F583+F584+F585+F586,0)))*12)+(IF($C$7="s",F587*12,0))++(((IF(INT($C$3/3)&lt;6,F581,0))+(IF(AND(INT($C$3/6)&gt;0,INT($C$3/6)&lt;2),F582,0))+(IF(AND(INT($C$3/6)&gt;1,INT($C$3/6)&lt;3),F582+F583,0))+(IF(AND(INT($C$3/6)&gt;2,INT($C$3/6)&lt;4),F582+F583+F584,0))+(IF(AND(INT($C$3/6)&gt;3,INT($C$3/6)&lt;5),F582+F583+F584+F585,0))+(IF(INT($C$3/6)&gt;4,F582+F583+F584+F585+F586,0)))*2*0.78)+(F592*12)+(F593*2)</f>
        <v>35765.462800000001</v>
      </c>
      <c r="G598" s="82">
        <f t="shared" ref="G598:N598" si="122">((+G574+G578+G579+G580)*12)+(G576*INT($C$3/3)*12)+((G575+G578)*2)+((G579+G580)*0.78*2)+(G577*INT($C$3/3)*2)+(IF($C$6="s",(G589+12)+(G590*INT($C$3/3)*12),G588*12))+(IF($C$4="s",G591,0))+(((IF(INT($C$3/3)&lt;6,G581,0))+(IF(AND(INT($C$3/6)&gt;0,INT($C$3/6)&lt;2),G582,0))+(IF(AND(INT($C$3/6)&gt;1,INT($C$3/6)&lt;3),G582+G583,0))+(IF(AND(INT($C$3/6)&gt;2,INT($C$3/6)&lt;4),G582+G583+G584,0))+(IF(AND(INT($C$3/6)&gt;3,INT($C$3/6)&lt;5),G582+G583+G584+G585,0))+(IF(INT($C$3/6)&gt;4,G582+G583+G584+G585+G586,0)))*12)+(IF($C$7="s",G587*12,0))++(((IF(INT($C$3/3)&lt;6,G581,0))+(IF(AND(INT($C$3/6)&gt;0,INT($C$3/6)&lt;2),G582,0))+(IF(AND(INT($C$3/6)&gt;1,INT($C$3/6)&lt;3),G582+G583,0))+(IF(AND(INT($C$3/6)&gt;2,INT($C$3/6)&lt;4),G582+G583+G584,0))+(IF(AND(INT($C$3/6)&gt;3,INT($C$3/6)&lt;5),G582+G583+G584+G585,0))+(IF(INT($C$3/6)&gt;4,G582+G583+G584+G585+G586,0)))*2*0.78)+(G592*12)+(G593*2)</f>
        <v>40242.433999999994</v>
      </c>
      <c r="H598" s="82">
        <f t="shared" si="122"/>
        <v>40242.433999999994</v>
      </c>
      <c r="I598" s="82">
        <f t="shared" si="122"/>
        <v>41041.182399999998</v>
      </c>
      <c r="J598" s="82">
        <f t="shared" si="122"/>
        <v>41041.182399999998</v>
      </c>
      <c r="K598" s="82">
        <f t="shared" si="122"/>
        <v>41041.182399999998</v>
      </c>
      <c r="L598" s="82">
        <f t="shared" si="122"/>
        <v>41041.182399999998</v>
      </c>
      <c r="M598" s="82">
        <f t="shared" si="122"/>
        <v>41041.182399999998</v>
      </c>
      <c r="N598" s="82">
        <f t="shared" si="122"/>
        <v>41041.182399999998</v>
      </c>
    </row>
    <row r="599" spans="2:14" hidden="1"/>
    <row r="600" spans="2:14" hidden="1"/>
    <row r="601" spans="2:14" hidden="1"/>
    <row r="602" spans="2:14" hidden="1"/>
    <row r="603" spans="2:14" hidden="1"/>
    <row r="604" spans="2:14" hidden="1"/>
    <row r="605" spans="2:14" s="2" customFormat="1" ht="12.95" hidden="1" customHeight="1">
      <c r="B605" s="3"/>
      <c r="C605" s="2" t="str">
        <f>+E606</f>
        <v>Navarra</v>
      </c>
    </row>
    <row r="606" spans="2:14" s="2" customFormat="1" ht="35.25" hidden="1" customHeight="1">
      <c r="C606" s="7" t="str">
        <f>+$C$11</f>
        <v>597-Maestros</v>
      </c>
      <c r="E606" s="15" t="s">
        <v>74</v>
      </c>
      <c r="F606" s="6" t="s">
        <v>60</v>
      </c>
      <c r="G606" s="6" t="s">
        <v>55</v>
      </c>
      <c r="H606" s="6" t="s">
        <v>59</v>
      </c>
      <c r="I606" s="6" t="s">
        <v>54</v>
      </c>
      <c r="J606" s="6" t="s">
        <v>56</v>
      </c>
      <c r="K606" s="6" t="s">
        <v>57</v>
      </c>
      <c r="L606" s="6" t="s">
        <v>58</v>
      </c>
      <c r="M606" s="6" t="s">
        <v>53</v>
      </c>
      <c r="N606" s="6" t="s">
        <v>52</v>
      </c>
    </row>
    <row r="607" spans="2:14" s="2" customFormat="1" ht="12.95" hidden="1" customHeight="1">
      <c r="B607" s="12" t="s">
        <v>1</v>
      </c>
      <c r="C607" s="11" t="str">
        <f t="shared" ref="C607:C633" si="123">IF($C$11=$F$11,F607,IF($C$11=G$11,G607,IF($C$11=H$11,H607,IF($C$11=I$11,I607,IF($C$11=J$11,J607,IF($C$11=K$11,K607,IF($C$11=L$11,L607,IF($C$11=M$11,M607,N607))))))))</f>
        <v>A2</v>
      </c>
      <c r="E607" s="5" t="s">
        <v>1</v>
      </c>
      <c r="F607" s="4" t="s">
        <v>61</v>
      </c>
      <c r="G607" s="4" t="s">
        <v>61</v>
      </c>
      <c r="H607" s="4" t="s">
        <v>61</v>
      </c>
      <c r="I607" s="4" t="s">
        <v>17</v>
      </c>
      <c r="J607" s="4" t="s">
        <v>17</v>
      </c>
      <c r="K607" s="4" t="s">
        <v>17</v>
      </c>
      <c r="L607" s="4" t="s">
        <v>17</v>
      </c>
      <c r="M607" s="4" t="s">
        <v>17</v>
      </c>
      <c r="N607" s="4" t="s">
        <v>17</v>
      </c>
    </row>
    <row r="608" spans="2:14" s="2" customFormat="1" ht="12.95" hidden="1" customHeight="1">
      <c r="B608" s="12" t="str">
        <f>+E608</f>
        <v>Nivel</v>
      </c>
      <c r="C608" s="16">
        <f t="shared" si="123"/>
        <v>21</v>
      </c>
      <c r="E608" s="5" t="s">
        <v>0</v>
      </c>
      <c r="F608" s="4">
        <v>21</v>
      </c>
      <c r="G608" s="4">
        <v>24</v>
      </c>
      <c r="H608" s="4">
        <v>24</v>
      </c>
      <c r="I608" s="4">
        <v>24</v>
      </c>
      <c r="J608" s="4">
        <v>24</v>
      </c>
      <c r="K608" s="4">
        <v>24</v>
      </c>
      <c r="L608" s="4">
        <v>24</v>
      </c>
      <c r="M608" s="4">
        <v>26</v>
      </c>
      <c r="N608" s="4">
        <v>26</v>
      </c>
    </row>
    <row r="609" spans="2:14" s="2" customFormat="1" ht="12.95" hidden="1" customHeight="1">
      <c r="B609" s="13" t="s">
        <v>2</v>
      </c>
      <c r="C609" s="17">
        <f t="shared" si="123"/>
        <v>1519.2</v>
      </c>
      <c r="E609" s="13" t="s">
        <v>2</v>
      </c>
      <c r="F609" s="14">
        <v>1519.2</v>
      </c>
      <c r="G609" s="14">
        <f t="shared" ref="G609:H613" si="124">+F609</f>
        <v>1519.2</v>
      </c>
      <c r="H609" s="14">
        <f t="shared" si="124"/>
        <v>1519.2</v>
      </c>
      <c r="I609" s="14">
        <v>1805.84</v>
      </c>
      <c r="J609" s="14">
        <v>1109.0999999999999</v>
      </c>
      <c r="K609" s="14">
        <v>1109.0999999999999</v>
      </c>
      <c r="L609" s="14">
        <v>1109.0999999999999</v>
      </c>
      <c r="M609" s="14">
        <v>1109.0999999999999</v>
      </c>
      <c r="N609" s="14">
        <v>1109.0999999999999</v>
      </c>
    </row>
    <row r="610" spans="2:14" s="2" customFormat="1" ht="12.95" hidden="1" customHeight="1">
      <c r="B610" s="13" t="s">
        <v>64</v>
      </c>
      <c r="C610" s="17">
        <f t="shared" si="123"/>
        <v>1519.2</v>
      </c>
      <c r="E610" s="13" t="s">
        <v>64</v>
      </c>
      <c r="F610" s="19">
        <f>+F609</f>
        <v>1519.2</v>
      </c>
      <c r="G610" s="14">
        <f t="shared" si="124"/>
        <v>1519.2</v>
      </c>
      <c r="H610" s="14">
        <f t="shared" si="124"/>
        <v>1519.2</v>
      </c>
      <c r="I610" s="19">
        <f>+I609</f>
        <v>1805.84</v>
      </c>
      <c r="J610" s="19">
        <v>684.36</v>
      </c>
      <c r="K610" s="19">
        <v>684.36</v>
      </c>
      <c r="L610" s="19">
        <v>684.36</v>
      </c>
      <c r="M610" s="19">
        <v>684.36</v>
      </c>
      <c r="N610" s="19">
        <v>684.36</v>
      </c>
    </row>
    <row r="611" spans="2:14" s="2" customFormat="1" ht="12.95" hidden="1" customHeight="1">
      <c r="B611" s="13" t="s">
        <v>3</v>
      </c>
      <c r="C611" s="17">
        <f t="shared" si="123"/>
        <v>0</v>
      </c>
      <c r="E611" s="13" t="s">
        <v>3</v>
      </c>
      <c r="F611" s="14"/>
      <c r="G611" s="14">
        <f t="shared" si="124"/>
        <v>0</v>
      </c>
      <c r="H611" s="14">
        <f t="shared" si="124"/>
        <v>0</v>
      </c>
      <c r="I611" s="14"/>
      <c r="J611" s="14">
        <v>42.65</v>
      </c>
      <c r="K611" s="14">
        <v>42.65</v>
      </c>
      <c r="L611" s="14">
        <v>42.65</v>
      </c>
      <c r="M611" s="14">
        <v>42.65</v>
      </c>
      <c r="N611" s="14">
        <v>42.65</v>
      </c>
    </row>
    <row r="612" spans="2:14" s="2" customFormat="1" ht="12.95" hidden="1" customHeight="1">
      <c r="B612" s="13" t="s">
        <v>65</v>
      </c>
      <c r="C612" s="17">
        <f t="shared" si="123"/>
        <v>0</v>
      </c>
      <c r="E612" s="13" t="s">
        <v>65</v>
      </c>
      <c r="F612" s="19"/>
      <c r="G612" s="14">
        <f t="shared" si="124"/>
        <v>0</v>
      </c>
      <c r="H612" s="14">
        <f t="shared" si="124"/>
        <v>0</v>
      </c>
      <c r="I612" s="19"/>
      <c r="J612" s="19">
        <v>26.31</v>
      </c>
      <c r="K612" s="19">
        <v>26.31</v>
      </c>
      <c r="L612" s="19">
        <v>26.31</v>
      </c>
      <c r="M612" s="19">
        <v>26.31</v>
      </c>
      <c r="N612" s="19">
        <v>26.31</v>
      </c>
    </row>
    <row r="613" spans="2:14" s="2" customFormat="1" ht="12.95" hidden="1" customHeight="1">
      <c r="B613" s="13" t="s">
        <v>4</v>
      </c>
      <c r="C613" s="17">
        <f t="shared" si="123"/>
        <v>0</v>
      </c>
      <c r="E613" s="13" t="s">
        <v>4</v>
      </c>
      <c r="F613" s="14"/>
      <c r="G613" s="14">
        <f t="shared" si="124"/>
        <v>0</v>
      </c>
      <c r="H613" s="14">
        <f t="shared" si="124"/>
        <v>0</v>
      </c>
      <c r="I613" s="14"/>
      <c r="J613" s="14">
        <v>590.97</v>
      </c>
      <c r="K613" s="14">
        <v>590.97</v>
      </c>
      <c r="L613" s="14">
        <v>590.97</v>
      </c>
      <c r="M613" s="14">
        <v>707.83</v>
      </c>
      <c r="N613" s="14">
        <v>707.83</v>
      </c>
    </row>
    <row r="614" spans="2:14" s="2" customFormat="1" ht="12.95" hidden="1" customHeight="1">
      <c r="B614" s="13" t="s">
        <v>5</v>
      </c>
      <c r="C614" s="17">
        <f t="shared" si="123"/>
        <v>578.36</v>
      </c>
      <c r="E614" s="13" t="s">
        <v>5</v>
      </c>
      <c r="F614" s="14">
        <v>578.36</v>
      </c>
      <c r="G614" s="14">
        <v>686.22</v>
      </c>
      <c r="H614" s="14">
        <f>+G614</f>
        <v>686.22</v>
      </c>
      <c r="I614" s="14">
        <v>604.6</v>
      </c>
      <c r="J614" s="14">
        <v>614.51</v>
      </c>
      <c r="K614" s="14">
        <v>614.51</v>
      </c>
      <c r="L614" s="14">
        <v>614.51</v>
      </c>
      <c r="M614" s="14">
        <v>662.81</v>
      </c>
      <c r="N614" s="14">
        <v>1380.96</v>
      </c>
    </row>
    <row r="615" spans="2:14" s="2" customFormat="1" ht="12.95" hidden="1" customHeight="1">
      <c r="B615" s="27" t="s">
        <v>66</v>
      </c>
      <c r="C615" s="17">
        <f t="shared" si="123"/>
        <v>0</v>
      </c>
      <c r="E615" s="27" t="s">
        <v>66</v>
      </c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2:14" s="2" customFormat="1" ht="12.95" hidden="1" customHeight="1">
      <c r="B616" s="27" t="s">
        <v>80</v>
      </c>
      <c r="C616" s="17">
        <f t="shared" si="123"/>
        <v>0</v>
      </c>
      <c r="E616" s="27" t="s">
        <v>83</v>
      </c>
      <c r="F616" s="14">
        <f>IF(AND($C$3&gt;4,$C$3&lt;10),19.31,0)</f>
        <v>0</v>
      </c>
      <c r="G616" s="14">
        <f>IF(AND($C$3&gt;4,$C$3&lt;10),19.31,0)</f>
        <v>0</v>
      </c>
      <c r="H616" s="14">
        <f>IF(AND($C$3&gt;4,$C$3&lt;10),19.31,0)</f>
        <v>0</v>
      </c>
      <c r="I616" s="14">
        <f>IF(AND($C$3&gt;4,$C$3&lt;10),19.31,0)</f>
        <v>0</v>
      </c>
      <c r="J616" s="14">
        <f>+I616</f>
        <v>0</v>
      </c>
      <c r="K616" s="14">
        <f>+J616</f>
        <v>0</v>
      </c>
      <c r="L616" s="14">
        <f>+K616</f>
        <v>0</v>
      </c>
      <c r="M616" s="14">
        <f>+L616</f>
        <v>0</v>
      </c>
      <c r="N616" s="14">
        <f>+M616</f>
        <v>0</v>
      </c>
    </row>
    <row r="617" spans="2:14" s="2" customFormat="1" ht="12.95" hidden="1" customHeight="1">
      <c r="B617" s="27" t="s">
        <v>26</v>
      </c>
      <c r="C617" s="17">
        <f t="shared" si="123"/>
        <v>0</v>
      </c>
      <c r="E617" s="27" t="s">
        <v>95</v>
      </c>
      <c r="F617" s="14">
        <f>IF(AND($C$3&gt;5,$C$3&lt;10),136.73,0)</f>
        <v>0</v>
      </c>
      <c r="G617" s="14">
        <f>IF(AND($C$3&gt;5,$C$3&lt;10),136.73,0)</f>
        <v>0</v>
      </c>
      <c r="H617" s="14">
        <f>IF(AND($C$3&gt;5,$C$3&lt;10),136.73,0)</f>
        <v>0</v>
      </c>
      <c r="I617" s="14">
        <f>IF(AND($C$3&gt;5,$C$3&lt;10),162.53,0)</f>
        <v>0</v>
      </c>
      <c r="J617" s="14">
        <f t="shared" ref="J617:N628" si="125">+I617</f>
        <v>0</v>
      </c>
      <c r="K617" s="14">
        <f t="shared" si="125"/>
        <v>0</v>
      </c>
      <c r="L617" s="14">
        <f t="shared" si="125"/>
        <v>0</v>
      </c>
      <c r="M617" s="14">
        <f t="shared" si="125"/>
        <v>0</v>
      </c>
      <c r="N617" s="14">
        <f t="shared" si="125"/>
        <v>0</v>
      </c>
    </row>
    <row r="618" spans="2:14" s="2" customFormat="1" ht="12.95" hidden="1" customHeight="1">
      <c r="B618" s="27" t="s">
        <v>27</v>
      </c>
      <c r="C618" s="17">
        <f t="shared" ref="C618:C627" si="126">IF($C$11=$F$11,F618,IF($C$11=G$11,G619,IF($C$11=H$11,H618,IF($C$11=I$11,I618,IF($C$11=J$11,J618,IF($C$11=K$11,K618,IF($C$11=L$11,L618,IF($C$11=M$11,M618,N618))))))))</f>
        <v>0</v>
      </c>
      <c r="E618" s="27" t="s">
        <v>84</v>
      </c>
      <c r="F618" s="14">
        <f>IF(AND($C$3&gt;9,$C$3&lt;13),175.35,0)</f>
        <v>0</v>
      </c>
      <c r="G618" s="14">
        <f>IF(AND($C$3&gt;9,$C$3&lt;13),175.35,0)</f>
        <v>0</v>
      </c>
      <c r="H618" s="14">
        <f>IF(AND($C$3&gt;9,$C$3&lt;13),175.35,0)</f>
        <v>0</v>
      </c>
      <c r="I618" s="14">
        <f>IF(AND($C$3&gt;9,$C$3&lt;13),201.14,0)</f>
        <v>0</v>
      </c>
      <c r="J618" s="14">
        <f t="shared" si="125"/>
        <v>0</v>
      </c>
      <c r="K618" s="14">
        <f t="shared" si="125"/>
        <v>0</v>
      </c>
      <c r="L618" s="14">
        <f t="shared" si="125"/>
        <v>0</v>
      </c>
      <c r="M618" s="14">
        <f t="shared" si="125"/>
        <v>0</v>
      </c>
      <c r="N618" s="14">
        <f t="shared" si="125"/>
        <v>0</v>
      </c>
    </row>
    <row r="619" spans="2:14" s="2" customFormat="1" ht="12.95" hidden="1" customHeight="1">
      <c r="B619" s="27" t="s">
        <v>28</v>
      </c>
      <c r="C619" s="17">
        <f t="shared" si="126"/>
        <v>0</v>
      </c>
      <c r="E619" s="27" t="s">
        <v>90</v>
      </c>
      <c r="F619" s="14">
        <f>IF(AND($C$3&gt;12,$C$3&lt;15),312.07,0)</f>
        <v>0</v>
      </c>
      <c r="G619" s="14">
        <f>IF(AND($C$3&gt;12,$C$3&lt;15),312.07,0)</f>
        <v>0</v>
      </c>
      <c r="H619" s="14">
        <f>IF(AND($C$3&gt;12,$C$3&lt;15),312.07,0)</f>
        <v>0</v>
      </c>
      <c r="I619" s="14">
        <f>IF(AND($C$3&gt;12,$C$3&lt;15),363.67,0)</f>
        <v>0</v>
      </c>
      <c r="J619" s="14">
        <f t="shared" si="125"/>
        <v>0</v>
      </c>
      <c r="K619" s="14">
        <f t="shared" si="125"/>
        <v>0</v>
      </c>
      <c r="L619" s="14">
        <f t="shared" si="125"/>
        <v>0</v>
      </c>
      <c r="M619" s="14">
        <f t="shared" si="125"/>
        <v>0</v>
      </c>
      <c r="N619" s="14">
        <f t="shared" si="125"/>
        <v>0</v>
      </c>
    </row>
    <row r="620" spans="2:14" s="2" customFormat="1" ht="12.95" hidden="1" customHeight="1">
      <c r="B620" s="27" t="s">
        <v>29</v>
      </c>
      <c r="C620" s="17">
        <f t="shared" si="126"/>
        <v>326.56</v>
      </c>
      <c r="E620" s="27" t="s">
        <v>85</v>
      </c>
      <c r="F620" s="14">
        <f>IF(AND($C$3&gt;14,$C$3&lt;19),326.56,0)</f>
        <v>326.56</v>
      </c>
      <c r="G620" s="14">
        <f>IF(AND($C$3&gt;14,$C$3&lt;19),326.56,0)</f>
        <v>326.56</v>
      </c>
      <c r="H620" s="14">
        <f>IF(AND($C$3&gt;14,$C$3&lt;19),326.56,0)</f>
        <v>326.56</v>
      </c>
      <c r="I620" s="14">
        <f>IF(AND($C$3&gt;14,$C$3&lt;19),378.15,0)</f>
        <v>378.15</v>
      </c>
      <c r="J620" s="14">
        <f t="shared" si="125"/>
        <v>378.15</v>
      </c>
      <c r="K620" s="14">
        <f t="shared" si="125"/>
        <v>378.15</v>
      </c>
      <c r="L620" s="14">
        <f t="shared" si="125"/>
        <v>378.15</v>
      </c>
      <c r="M620" s="14">
        <f t="shared" si="125"/>
        <v>378.15</v>
      </c>
      <c r="N620" s="14">
        <f t="shared" si="125"/>
        <v>378.15</v>
      </c>
    </row>
    <row r="621" spans="2:14" s="2" customFormat="1" ht="12.95" hidden="1" customHeight="1">
      <c r="B621" s="27" t="s">
        <v>30</v>
      </c>
      <c r="C621" s="17">
        <f t="shared" si="126"/>
        <v>0</v>
      </c>
      <c r="E621" s="27" t="s">
        <v>91</v>
      </c>
      <c r="F621" s="14">
        <f>IF(AND($C$3&gt;18,$C$3&lt;20),463.28,0)</f>
        <v>0</v>
      </c>
      <c r="G621" s="14">
        <f>IF(AND($C$3&gt;18,$C$3&lt;20),463.28,0)</f>
        <v>0</v>
      </c>
      <c r="H621" s="14">
        <f>IF(AND($C$3&gt;18,$C$3&lt;20),463.28,0)</f>
        <v>0</v>
      </c>
      <c r="I621" s="14">
        <f>IF(AND($C$3&gt;18,$C$3&lt;20),540.68,0)</f>
        <v>0</v>
      </c>
      <c r="J621" s="14">
        <f t="shared" si="125"/>
        <v>0</v>
      </c>
      <c r="K621" s="14">
        <f t="shared" si="125"/>
        <v>0</v>
      </c>
      <c r="L621" s="14">
        <f t="shared" si="125"/>
        <v>0</v>
      </c>
      <c r="M621" s="14">
        <f t="shared" si="125"/>
        <v>0</v>
      </c>
      <c r="N621" s="14">
        <f t="shared" si="125"/>
        <v>0</v>
      </c>
    </row>
    <row r="622" spans="2:14" s="2" customFormat="1" ht="12.95" hidden="1" customHeight="1">
      <c r="B622" s="27" t="s">
        <v>32</v>
      </c>
      <c r="C622" s="17">
        <f t="shared" si="126"/>
        <v>0</v>
      </c>
      <c r="E622" s="27" t="s">
        <v>86</v>
      </c>
      <c r="F622" s="14">
        <f>IF(AND($C$3&gt;19,$C$3&lt;25),477.76,0)</f>
        <v>0</v>
      </c>
      <c r="G622" s="14">
        <f>IF(AND($C$3&gt;19,$C$3&lt;25),477.76,0)</f>
        <v>0</v>
      </c>
      <c r="H622" s="14">
        <f>IF(AND($C$3&gt;19,$C$3&lt;25),477.76,0)</f>
        <v>0</v>
      </c>
      <c r="I622" s="14">
        <f>IF(AND($C$3&gt;19,$C$3&lt;25),555.16,0)</f>
        <v>0</v>
      </c>
      <c r="J622" s="14">
        <f t="shared" si="125"/>
        <v>0</v>
      </c>
      <c r="K622" s="14">
        <f t="shared" si="125"/>
        <v>0</v>
      </c>
      <c r="L622" s="14">
        <f t="shared" si="125"/>
        <v>0</v>
      </c>
      <c r="M622" s="14">
        <f t="shared" si="125"/>
        <v>0</v>
      </c>
      <c r="N622" s="14">
        <f t="shared" si="125"/>
        <v>0</v>
      </c>
    </row>
    <row r="623" spans="2:14" s="2" customFormat="1" ht="12.95" hidden="1" customHeight="1">
      <c r="B623" s="28" t="s">
        <v>6</v>
      </c>
      <c r="C623" s="17">
        <f t="shared" si="126"/>
        <v>0</v>
      </c>
      <c r="E623" s="27" t="s">
        <v>87</v>
      </c>
      <c r="F623" s="14">
        <f>IF(AND($C$3&gt;24,$C$3&lt;26),487.42,0)</f>
        <v>0</v>
      </c>
      <c r="G623" s="14">
        <f>IF(AND($C$3&gt;24,$C$3&lt;26),487.42,0)</f>
        <v>0</v>
      </c>
      <c r="H623" s="14">
        <f>IF(AND($C$3&gt;24,$C$3&lt;26),487.42,0)</f>
        <v>0</v>
      </c>
      <c r="I623" s="14">
        <f>IF(AND($C$3&gt;24,$C$3&lt;26),564.81,0)</f>
        <v>0</v>
      </c>
      <c r="J623" s="14">
        <f t="shared" si="125"/>
        <v>0</v>
      </c>
      <c r="K623" s="14">
        <f t="shared" si="125"/>
        <v>0</v>
      </c>
      <c r="L623" s="14">
        <f t="shared" si="125"/>
        <v>0</v>
      </c>
      <c r="M623" s="14">
        <f t="shared" si="125"/>
        <v>0</v>
      </c>
      <c r="N623" s="14">
        <f t="shared" si="125"/>
        <v>0</v>
      </c>
    </row>
    <row r="624" spans="2:14" s="2" customFormat="1" ht="12.95" hidden="1" customHeight="1">
      <c r="B624" s="28" t="s">
        <v>7</v>
      </c>
      <c r="C624" s="17">
        <f t="shared" si="126"/>
        <v>0</v>
      </c>
      <c r="E624" s="28" t="s">
        <v>92</v>
      </c>
      <c r="F624" s="14">
        <f>IF(AND($C$3&gt;25,$C$3&lt;30),624.15,0)</f>
        <v>0</v>
      </c>
      <c r="G624" s="14">
        <f>IF(AND($C$3&gt;25,$C$3&lt;30),624.15,0)</f>
        <v>0</v>
      </c>
      <c r="H624" s="14">
        <f>IF(AND($C$3&gt;25,$C$3&lt;30),624.15,0)</f>
        <v>0</v>
      </c>
      <c r="I624" s="14">
        <f>IF(AND($C$3&gt;25,$C$3&lt;30),727.34,0)</f>
        <v>0</v>
      </c>
      <c r="J624" s="14">
        <f t="shared" si="125"/>
        <v>0</v>
      </c>
      <c r="K624" s="14">
        <f t="shared" si="125"/>
        <v>0</v>
      </c>
      <c r="L624" s="14">
        <f t="shared" si="125"/>
        <v>0</v>
      </c>
      <c r="M624" s="14">
        <f t="shared" si="125"/>
        <v>0</v>
      </c>
      <c r="N624" s="14">
        <f t="shared" si="125"/>
        <v>0</v>
      </c>
    </row>
    <row r="625" spans="2:14" s="2" customFormat="1" ht="12.95" hidden="1" customHeight="1">
      <c r="B625" s="28" t="s">
        <v>8</v>
      </c>
      <c r="C625" s="17">
        <f t="shared" si="126"/>
        <v>0</v>
      </c>
      <c r="E625" s="28" t="s">
        <v>88</v>
      </c>
      <c r="F625" s="14">
        <f>IF(AND($C$3&gt;29,$C$3&lt;32),633.8,0)</f>
        <v>0</v>
      </c>
      <c r="G625" s="14">
        <f>IF(AND($C$3&gt;29,$C$3&lt;32),633.8,0)</f>
        <v>0</v>
      </c>
      <c r="H625" s="14">
        <f>IF(AND($C$3&gt;29,$C$3&lt;32),633.8,0)</f>
        <v>0</v>
      </c>
      <c r="I625" s="14">
        <f>IF(AND($C$3&gt;29,$C$3&lt;32),736.99,0)</f>
        <v>0</v>
      </c>
      <c r="J625" s="14">
        <f t="shared" si="125"/>
        <v>0</v>
      </c>
      <c r="K625" s="14">
        <f t="shared" si="125"/>
        <v>0</v>
      </c>
      <c r="L625" s="14">
        <f t="shared" si="125"/>
        <v>0</v>
      </c>
      <c r="M625" s="14">
        <f t="shared" si="125"/>
        <v>0</v>
      </c>
      <c r="N625" s="14">
        <f t="shared" si="125"/>
        <v>0</v>
      </c>
    </row>
    <row r="626" spans="2:14" s="2" customFormat="1" ht="12.95" hidden="1" customHeight="1">
      <c r="B626" s="29" t="s">
        <v>77</v>
      </c>
      <c r="C626" s="17">
        <f t="shared" si="126"/>
        <v>0</v>
      </c>
      <c r="E626" s="28" t="s">
        <v>93</v>
      </c>
      <c r="F626" s="14">
        <f>IF(AND($C$3&gt;31,$C$3&lt;35),770.53,0)</f>
        <v>0</v>
      </c>
      <c r="G626" s="14">
        <f>IF(AND($C$3&gt;31,$C$3&lt;35),770.53,0)</f>
        <v>0</v>
      </c>
      <c r="H626" s="14">
        <f>IF(AND($C$3&gt;31,$C$3&lt;35),770.53,0)</f>
        <v>0</v>
      </c>
      <c r="I626" s="14">
        <f>IF(AND($C$3&gt;31,$C$3&lt;35),899.52,0)</f>
        <v>0</v>
      </c>
      <c r="J626" s="14">
        <f t="shared" si="125"/>
        <v>0</v>
      </c>
      <c r="K626" s="14">
        <f t="shared" si="125"/>
        <v>0</v>
      </c>
      <c r="L626" s="14">
        <f t="shared" si="125"/>
        <v>0</v>
      </c>
      <c r="M626" s="14">
        <f t="shared" si="125"/>
        <v>0</v>
      </c>
      <c r="N626" s="14">
        <f t="shared" si="125"/>
        <v>0</v>
      </c>
    </row>
    <row r="627" spans="2:14" s="2" customFormat="1" ht="12.95" hidden="1" customHeight="1">
      <c r="B627" s="30" t="s">
        <v>81</v>
      </c>
      <c r="C627" s="17">
        <f t="shared" si="126"/>
        <v>0</v>
      </c>
      <c r="E627" s="29" t="s">
        <v>89</v>
      </c>
      <c r="F627" s="14">
        <f>IF(AND($C$3&gt;34,$C$3&lt;39),780.18,0)</f>
        <v>0</v>
      </c>
      <c r="G627" s="14">
        <f>IF(AND($C$3&gt;34,$C$3&lt;39),780.18,0)</f>
        <v>0</v>
      </c>
      <c r="H627" s="14">
        <f>IF(AND($C$3&gt;34,$C$3&lt;39),780.18,0)</f>
        <v>0</v>
      </c>
      <c r="I627" s="14">
        <f>IF(AND($C$3&gt;34,$C$3&lt;39),909.17,0)</f>
        <v>0</v>
      </c>
      <c r="J627" s="14">
        <f t="shared" si="125"/>
        <v>0</v>
      </c>
      <c r="K627" s="14">
        <f t="shared" si="125"/>
        <v>0</v>
      </c>
      <c r="L627" s="14">
        <f t="shared" si="125"/>
        <v>0</v>
      </c>
      <c r="M627" s="14">
        <f t="shared" si="125"/>
        <v>0</v>
      </c>
      <c r="N627" s="14">
        <f t="shared" si="125"/>
        <v>0</v>
      </c>
    </row>
    <row r="628" spans="2:14" s="2" customFormat="1" ht="12.95" hidden="1" customHeight="1">
      <c r="B628" s="30" t="s">
        <v>78</v>
      </c>
      <c r="C628" s="17">
        <f>IF($C$11=$F$11,F628,IF($C$11=G$11,#REF!,IF($C$11=H$11,H628,IF($C$11=I$11,I628,IF($C$11=J$11,J628,IF($C$11=K$11,K628,IF($C$11=L$11,L628,IF($C$11=M$11,M628,N628))))))))</f>
        <v>0</v>
      </c>
      <c r="E628" s="30" t="s">
        <v>94</v>
      </c>
      <c r="F628" s="14">
        <f>IF(AND($C$3&gt;39,$C$3&lt;50),789.84,0)</f>
        <v>0</v>
      </c>
      <c r="G628" s="14">
        <f>IF(AND($C$3&gt;39,$C$3&lt;50),789.84,0)</f>
        <v>0</v>
      </c>
      <c r="H628" s="14">
        <f>IF(AND($C$3&gt;39,$C$3&lt;50),789.84,0)</f>
        <v>0</v>
      </c>
      <c r="I628" s="14">
        <f>IF(AND($C$3&gt;39,$C$3&lt;50),918.83,0)</f>
        <v>0</v>
      </c>
      <c r="J628" s="14">
        <f t="shared" si="125"/>
        <v>0</v>
      </c>
      <c r="K628" s="14">
        <f t="shared" si="125"/>
        <v>0</v>
      </c>
      <c r="L628" s="14">
        <f t="shared" si="125"/>
        <v>0</v>
      </c>
      <c r="M628" s="14">
        <f t="shared" si="125"/>
        <v>0</v>
      </c>
      <c r="N628" s="14">
        <f t="shared" si="125"/>
        <v>0</v>
      </c>
    </row>
    <row r="629" spans="2:14" s="2" customFormat="1" ht="12.95" hidden="1" customHeight="1">
      <c r="B629" s="30" t="s">
        <v>82</v>
      </c>
      <c r="C629" s="17">
        <f t="shared" si="123"/>
        <v>0</v>
      </c>
      <c r="E629" s="30" t="s">
        <v>82</v>
      </c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2:14" s="2" customFormat="1" ht="12.95" hidden="1" customHeight="1">
      <c r="B630" s="31" t="s">
        <v>79</v>
      </c>
      <c r="C630" s="17">
        <f t="shared" si="123"/>
        <v>0</v>
      </c>
      <c r="E630" s="31" t="s">
        <v>79</v>
      </c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2:14" s="2" customFormat="1" ht="12.95" hidden="1" customHeight="1">
      <c r="B631" s="22" t="s">
        <v>9</v>
      </c>
      <c r="C631" s="17">
        <f t="shared" si="123"/>
        <v>-37.67</v>
      </c>
      <c r="E631" s="22" t="s">
        <v>9</v>
      </c>
      <c r="F631" s="20">
        <v>-37.67</v>
      </c>
      <c r="G631" s="20">
        <v>-37.67</v>
      </c>
      <c r="H631" s="20">
        <v>-37.67</v>
      </c>
      <c r="I631" s="20">
        <v>-47.86</v>
      </c>
      <c r="J631" s="20">
        <v>-47.86</v>
      </c>
      <c r="K631" s="20">
        <v>-47.86</v>
      </c>
      <c r="L631" s="20">
        <v>-47.86</v>
      </c>
      <c r="M631" s="20">
        <v>-47.86</v>
      </c>
      <c r="N631" s="20">
        <v>-47.86</v>
      </c>
    </row>
    <row r="632" spans="2:14" s="2" customFormat="1" ht="12.95" hidden="1" customHeight="1">
      <c r="B632" s="22" t="s">
        <v>16</v>
      </c>
      <c r="C632" s="17">
        <f t="shared" si="123"/>
        <v>-86.03</v>
      </c>
      <c r="E632" s="22" t="s">
        <v>16</v>
      </c>
      <c r="F632" s="20">
        <v>-86.03</v>
      </c>
      <c r="G632" s="20">
        <v>-86.03</v>
      </c>
      <c r="H632" s="20">
        <v>-86.03</v>
      </c>
      <c r="I632" s="20">
        <v>-109.31</v>
      </c>
      <c r="J632" s="20">
        <v>-109.31</v>
      </c>
      <c r="K632" s="20">
        <v>-109.31</v>
      </c>
      <c r="L632" s="20">
        <v>-109.31</v>
      </c>
      <c r="M632" s="20">
        <v>-109.31</v>
      </c>
      <c r="N632" s="20">
        <v>-109.31</v>
      </c>
    </row>
    <row r="633" spans="2:14" hidden="1">
      <c r="B633" s="1" t="s">
        <v>18</v>
      </c>
      <c r="C633" s="17">
        <f t="shared" si="123"/>
        <v>33937.68</v>
      </c>
      <c r="E633" s="32" t="s">
        <v>18</v>
      </c>
      <c r="F633" s="82">
        <f>+(F609+F614+F616+F617+F618+F619+F620+F621+F622+F623+F624+F625+F626+F627)*14</f>
        <v>33937.68</v>
      </c>
      <c r="G633" s="82">
        <f t="shared" ref="G633:N633" si="127">+(G609+G614+G616+G617+G618+G619+G620+G621+G622+G623+G624+G625+G626+G627)*14</f>
        <v>35447.72</v>
      </c>
      <c r="H633" s="82">
        <f t="shared" si="127"/>
        <v>35447.72</v>
      </c>
      <c r="I633" s="82">
        <f t="shared" si="127"/>
        <v>39040.26</v>
      </c>
      <c r="J633" s="82">
        <f t="shared" si="127"/>
        <v>29424.639999999996</v>
      </c>
      <c r="K633" s="82">
        <f t="shared" si="127"/>
        <v>29424.639999999996</v>
      </c>
      <c r="L633" s="82">
        <f t="shared" si="127"/>
        <v>29424.639999999996</v>
      </c>
      <c r="M633" s="82">
        <f t="shared" si="127"/>
        <v>30100.84</v>
      </c>
      <c r="N633" s="82">
        <f t="shared" si="127"/>
        <v>40154.94</v>
      </c>
    </row>
  </sheetData>
  <sheetProtection password="DF4C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Nómina mensual</vt:lpstr>
      <vt:lpstr>Retribuciones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INSUCAN</cp:lastModifiedBy>
  <cp:lastPrinted>2010-06-03T19:39:34Z</cp:lastPrinted>
  <dcterms:created xsi:type="dcterms:W3CDTF">2010-01-09T16:18:22Z</dcterms:created>
  <dcterms:modified xsi:type="dcterms:W3CDTF">2015-07-26T21:50:54Z</dcterms:modified>
</cp:coreProperties>
</file>